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Inputs" sheetId="2" state="visible" r:id="rId4"/>
    <sheet name="Drivers" sheetId="3" state="visible" r:id="rId5"/>
    <sheet name="Costs" sheetId="4" state="visible" r:id="rId6"/>
    <sheet name="UnitEconomics" sheetId="5" state="visible" r:id="rId7"/>
    <sheet name="BreakEven" sheetId="6" state="visible" r:id="rId8"/>
    <sheet name="Scenarios" sheetId="7" state="visible" r:id="rId9"/>
    <sheet name="SupportCoordination" sheetId="8" state="visible" r:id="rId10"/>
    <sheet name="Sensitivity"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<sst xmlns="http://schemas.openxmlformats.org/spreadsheetml/2006/main" count="401" uniqueCount="268">
  <si>
    <t xml:space="preserve">NDIS Business Enabling Study — Financial Model  v1.0</t>
  </si>
  <si>
    <t xml:space="preserve">Generated by 01_System/build_financial_model.py on 2026-09-07. Do not hand-edit; edit 01_System/model_params.py and rebuild.</t>
  </si>
  <si>
    <t xml:space="preserve">How this workbook works</t>
  </si>
  <si>
    <t xml:space="preserve">WHAT THIS MODEL DOES</t>
  </si>
  <si>
    <t xml:space="preserve">Turns the sourced NDIS price limits and the sourced SCHADS wage into a margin per billable hour, then into a break-even volume, a twelve-month cash curve and a runway figure.</t>
  </si>
  <si>
    <t xml:space="preserve">HOW TO USE IT</t>
  </si>
  <si>
    <t xml:space="preserve">Change a value in the Drivers sheet. Every downstream number recomputes. Nothing in this workbook is a typed-in result.</t>
  </si>
  <si>
    <t xml:space="preserve">COLOUR LEGEND</t>
  </si>
  <si>
    <t xml:space="preserve">BLUE text  = a hard input taken from a source. The SRC-### beside it names that source.
YELLOW fill = an assumption, not a fact. The ASM-### beside it says what breaks if it is wrong. These are the cells to challenge first.
BLACK text = a formula. Do not overwrite it.</t>
  </si>
  <si>
    <t xml:space="preserve">THE ONE THING TO READ FIRST</t>
  </si>
  <si>
    <t xml:space="preserve">UnitEconomics, row 'Contribution if administration is PAID'. If that number is small, the business only works while you personally do the rostering, notes and invoicing for nothing. That is the finding, not the margin.</t>
  </si>
  <si>
    <t xml:space="preserve">WHAT THIS MODEL DOES NOT DO</t>
  </si>
  <si>
    <t xml:space="preserve">It does not model weekend or public holiday work: no arithmetically consistent SCHADS casual penalty rate could be sourced (DEF-003, BKL-002). It does not model SIL or SDA: no property parameters were supplied (BKL-005). It excludes payroll tax on the assumption the business stays below the Victorian threshold (ASM-003). It excludes income tax and GST entirely.</t>
  </si>
  <si>
    <t xml:space="preserve">CURRENCY</t>
  </si>
  <si>
    <t xml:space="preserve">Every external figure was verified on 2026-09-07. Under GOV-F1.16 a citation is stale after twelve months, so re-verify before 2027-08-20 (BKL-006).</t>
  </si>
  <si>
    <t xml:space="preserve">NOT ADVICE</t>
  </si>
  <si>
    <t xml:space="preserve">This is a decision-support model, not financial, tax or legal advice.</t>
  </si>
  <si>
    <t xml:space="preserve">Sourced rate inputs</t>
  </si>
  <si>
    <t xml:space="preserve">BLUE = a hard number taken from a named source. Change one only if you have a better source, and update the Source column when you do.</t>
  </si>
  <si>
    <t xml:space="preserve">Input</t>
  </si>
  <si>
    <t xml:space="preserve">Value</t>
  </si>
  <si>
    <t xml:space="preserve">Unit</t>
  </si>
  <si>
    <t xml:space="preserve">Source</t>
  </si>
  <si>
    <t xml:space="preserve">Confidence</t>
  </si>
  <si>
    <t xml:space="preserve">Why the confidence is not High</t>
  </si>
  <si>
    <t xml:space="preserve">NDIS price limit — self-care, weekday daytime (01_011_0107_1_1)</t>
  </si>
  <si>
    <t xml:space="preserve">AUD/hr</t>
  </si>
  <si>
    <t xml:space="preserve">SRC-002</t>
  </si>
  <si>
    <t xml:space="preserve">Medium</t>
  </si>
  <si>
    <t xml:space="preserve">Read from a 65-page PDF through a summarising fetch, not a raw table. RSK-007. BKL-001 closes this.</t>
  </si>
  <si>
    <t xml:space="preserve">NDIS price limit — community participation, weekday (04_104_0125_6_1)</t>
  </si>
  <si>
    <t xml:space="preserve">SRC-004</t>
  </si>
  <si>
    <t xml:space="preserve">Same extraction caveat.</t>
  </si>
  <si>
    <t xml:space="preserve">NDIS price limit — support coordination Level 2 (07_002_0106_8_3)</t>
  </si>
  <si>
    <t xml:space="preserve">SRC-005</t>
  </si>
  <si>
    <t xml:space="preserve">SCHADS SACS Level 2 casual hourly rate</t>
  </si>
  <si>
    <t xml:space="preserve">SRC-009</t>
  </si>
  <si>
    <t xml:space="preserve">fairwork.gov.au blocks automated fetching. Two independent payroll calculators agree exactly, but no first-party read was achieved. ISS-001.</t>
  </si>
  <si>
    <t xml:space="preserve">SCHADS SACS Level 3 casual hourly rate (used for administration)</t>
  </si>
  <si>
    <t xml:space="preserve">Same. ISS-001.</t>
  </si>
  <si>
    <t xml:space="preserve">Superannuation guarantee, FY2026-27</t>
  </si>
  <si>
    <t xml:space="preserve">rate</t>
  </si>
  <si>
    <t xml:space="preserve">SRC-011</t>
  </si>
  <si>
    <t xml:space="preserve">High</t>
  </si>
  <si>
    <t xml:space="preserve">-</t>
  </si>
  <si>
    <t xml:space="preserve">WorkCover premium, Victorian state average 2026-27</t>
  </si>
  <si>
    <t xml:space="preserve">SRC-012</t>
  </si>
  <si>
    <t xml:space="preserve">State average across all industries. The disability-sector rate sits in a Special Gazette that could not be read. ASM-004.</t>
  </si>
  <si>
    <t xml:space="preserve">Portable long service leave levy, Victorian community services</t>
  </si>
  <si>
    <t xml:space="preserve">SRC-013</t>
  </si>
  <si>
    <t xml:space="preserve">Payroll tax, Victoria — assumed not payable below threshold</t>
  </si>
  <si>
    <t xml:space="preserve">ASM-003</t>
  </si>
  <si>
    <t xml:space="preserve">The threshold itself could not be confirmed from a primary source. Set this to 0.0485 to test crossing it.</t>
  </si>
  <si>
    <t xml:space="preserve">Drivers — these are ASSUMPTIONS, not facts</t>
  </si>
  <si>
    <t xml:space="preserve">YELLOW cells are the ones to argue with. Each names the ASM-### that states what breaks if it is wrong. Change one and every sheet downstream recomputes.</t>
  </si>
  <si>
    <t xml:space="preserve">Driver</t>
  </si>
  <si>
    <t xml:space="preserve">ASM</t>
  </si>
  <si>
    <t xml:space="preserve">What happens if this is wrong</t>
  </si>
  <si>
    <t xml:space="preserve">Administration hours required per billable hour</t>
  </si>
  <si>
    <t xml:space="preserve">hr</t>
  </si>
  <si>
    <t xml:space="preserve">ASM-008</t>
  </si>
  <si>
    <t xml:space="preserve">Low</t>
  </si>
  <si>
    <t xml:space="preserve">The single most important number in this model. At 0.40 the core-supports margin turns NEGATIVE. No published benchmark exists.</t>
  </si>
  <si>
    <t xml:space="preserve">Payment lag from invoice to cash</t>
  </si>
  <si>
    <t xml:space="preserve">days</t>
  </si>
  <si>
    <t xml:space="preserve">ASM-007</t>
  </si>
  <si>
    <t xml:space="preserve">Sets the working capital figure. At 30 days it roughly doubles.</t>
  </si>
  <si>
    <t xml:space="preserve">Bookkeeping and accounting</t>
  </si>
  <si>
    <t xml:space="preserve">AUD/mo</t>
  </si>
  <si>
    <t xml:space="preserve">ASM-005</t>
  </si>
  <si>
    <t xml:space="preserve">No vendor publishes a price. Every $100 of error moves break-even by about five billable hours a month.</t>
  </si>
  <si>
    <t xml:space="preserve">General operating overhead — phone, internet, memberships, travel</t>
  </si>
  <si>
    <t xml:space="preserve">ASM-014</t>
  </si>
  <si>
    <t xml:space="preserve">Same sensitivity as bookkeeping.</t>
  </si>
  <si>
    <t xml:space="preserve">Website and brand, one-off</t>
  </si>
  <si>
    <t xml:space="preserve">AUD</t>
  </si>
  <si>
    <t xml:space="preserve">ASM-006</t>
  </si>
  <si>
    <t xml:space="preserve">The published Australian range is $3,500 to $30,000. A lean single-operator build is assumed.</t>
  </si>
  <si>
    <t xml:space="preserve">Support coordination billable utilisation</t>
  </si>
  <si>
    <t xml:space="preserve">ASM-013</t>
  </si>
  <si>
    <t xml:space="preserve">Drives the entire support coordination result. At 0.35 annual net falls from about $99,000 to about $59,000.</t>
  </si>
  <si>
    <t xml:space="preserve">Hours available per week if you work the business full time</t>
  </si>
  <si>
    <t xml:space="preserve">ASM-011</t>
  </si>
  <si>
    <t xml:space="preserve">Assumes owner-operator. ACT-001 must confirm this.</t>
  </si>
  <si>
    <t xml:space="preserve">Support workers screened and trained before the first shift</t>
  </si>
  <si>
    <t xml:space="preserve">count</t>
  </si>
  <si>
    <t xml:space="preserve">Scales the per-worker setup cost of about $429 each.</t>
  </si>
  <si>
    <t xml:space="preserve">Owner drawings per month, base case</t>
  </si>
  <si>
    <t xml:space="preserve">ASM-012</t>
  </si>
  <si>
    <t xml:space="preserve">Set to zero deliberately. ACT-002 must supply the real number. Every scenario in this model assumes you work for nothing until you change this.</t>
  </si>
  <si>
    <t xml:space="preserve">Target billable hours per month at steady state</t>
  </si>
  <si>
    <t xml:space="preserve">Used for the working capital calculation. About 4.6 participants at 15 hours a week each.</t>
  </si>
  <si>
    <t xml:space="preserve">Cost stack</t>
  </si>
  <si>
    <t xml:space="preserve">One-off, recurring monthly and recurring annual. Every line names its source. Where no vendor publishes a price, the line names the ASM instead and the confidence is Low.</t>
  </si>
  <si>
    <t xml:space="preserve">Cost line</t>
  </si>
  <si>
    <t xml:space="preserve">Base</t>
  </si>
  <si>
    <t xml:space="preserve">Note</t>
  </si>
  <si>
    <t xml:space="preserve">ONE-OFF SETUP</t>
  </si>
  <si>
    <t xml:space="preserve">ASIC Pty Ltd company registration</t>
  </si>
  <si>
    <t xml:space="preserve">SRC-025</t>
  </si>
  <si>
    <t xml:space="preserve">Secondary summary of ASIC's fee.</t>
  </si>
  <si>
    <t xml:space="preserve">ASIC business name, three years</t>
  </si>
  <si>
    <t xml:space="preserve">SRC-027</t>
  </si>
  <si>
    <t xml:space="preserve">Secondary summary.</t>
  </si>
  <si>
    <t xml:space="preserve">ABN, TFN, GST and PAYG registration</t>
  </si>
  <si>
    <t xml:space="preserve">SRC-028</t>
  </si>
  <si>
    <t xml:space="preserve">Free. Instant, or up to 20 business days if referred.</t>
  </si>
  <si>
    <t xml:space="preserve">myID Strong and RAM setup</t>
  </si>
  <si>
    <t xml:space="preserve">SRC-030</t>
  </si>
  <si>
    <t xml:space="preserve">Free. PRODA closes for Commission portals 30 Sep 2026.</t>
  </si>
  <si>
    <t xml:space="preserve">Policy and procedure manual, verification pack</t>
  </si>
  <si>
    <t xml:space="preserve">SRC-036</t>
  </si>
  <si>
    <t xml:space="preserve">Two vendors publish prices.</t>
  </si>
  <si>
    <t xml:space="preserve">Verification audit fee</t>
  </si>
  <si>
    <t xml:space="preserve">SRC-034</t>
  </si>
  <si>
    <t xml:space="preserve">A consultancy's estimate. NO Approved Quality Auditor publishes a rate card. ACT-007 replaces this with two real quotes.</t>
  </si>
  <si>
    <t xml:space="preserve">Website and brand (from Drivers)</t>
  </si>
  <si>
    <t xml:space="preserve">Published Australian range is $3,500 to $30,000. This model assumes a lean build.</t>
  </si>
  <si>
    <t xml:space="preserve">Per-worker setup: screening $139.20 + first aid and CPR $290</t>
  </si>
  <si>
    <t xml:space="preserve">SRC-031, SRC-041</t>
  </si>
  <si>
    <t xml:space="preserve">Scales with the worker count in Drivers, plus you. Orientation module is free (SRC-042).</t>
  </si>
  <si>
    <t xml:space="preserve">TOTAL ONE-OFF SETUP</t>
  </si>
  <si>
    <t xml:space="preserve">RECURRING MONTHLY</t>
  </si>
  <si>
    <t xml:space="preserve">CRM and rostering (ShiftCare Essentials, 5-staff minimum)</t>
  </si>
  <si>
    <t xml:space="preserve">SRC-037</t>
  </si>
  <si>
    <t xml:space="preserve">Vendor's published pricing.</t>
  </si>
  <si>
    <t xml:space="preserve">Accounting and payroll (Xero)</t>
  </si>
  <si>
    <t xml:space="preserve">SRC-038</t>
  </si>
  <si>
    <t xml:space="preserve">Bookkeeping  (base cell is the Drivers value)</t>
  </si>
  <si>
    <t xml:space="preserve">No vendor publishes a price. Low and high are the plausible band; the base column is wired to the Drivers sheet so changing the driver moves the base case.</t>
  </si>
  <si>
    <t xml:space="preserve">General operating overhead  (base cell is the Drivers value)</t>
  </si>
  <si>
    <t xml:space="preserve">No vendor publishes a price. Same structure: low and high bound it, the driver sets the base.</t>
  </si>
  <si>
    <t xml:space="preserve">SUBTOTAL MONTHLY</t>
  </si>
  <si>
    <t xml:space="preserve">RECURRING ANNUAL</t>
  </si>
  <si>
    <t xml:space="preserve">ASIC company annual review</t>
  </si>
  <si>
    <t xml:space="preserve">SRC-026</t>
  </si>
  <si>
    <t xml:space="preserve">Insurance: public liability, professional indemnity, personal accident</t>
  </si>
  <si>
    <t xml:space="preserve">SRC-040</t>
  </si>
  <si>
    <t xml:space="preserve">One broker's marketing page, no named underwriter. Management liability has NO published price anywhere. ACT-008.</t>
  </si>
  <si>
    <t xml:space="preserve">SUBTOTAL ANNUAL</t>
  </si>
  <si>
    <t xml:space="preserve">TOTAL FIXED COST PER MONTH  (monthly subtotal + annual subtotal / 12)</t>
  </si>
  <si>
    <t xml:space="preserve">NOT INCLUDED — no published price could be found for any of these</t>
  </si>
  <si>
    <t xml:space="preserve">  .  NDIS Commission's own application or certificate fee, if one exists — ACT-006 resolves this</t>
  </si>
  <si>
    <t xml:space="preserve">  .  Management liability insurance — no published figure exists for a small Australian disability business</t>
  </si>
  <si>
    <t xml:space="preserve">  .  Mid-term surveillance audit at about 18 months, estimated at 60-70% of the initial audit fee (SRC-034)</t>
  </si>
  <si>
    <t xml:space="preserve">  .  Payroll tax, if the business crosses the Victorian threshold (ASM-003)</t>
  </si>
  <si>
    <t xml:space="preserve">  .  Income tax, GST remittance, and any consultant engaged to run the registration</t>
  </si>
  <si>
    <t xml:space="preserve">Unit economics — one billable hour of core support</t>
  </si>
  <si>
    <t xml:space="preserve">This is the whole business in eight rows. Read the last two together.</t>
  </si>
  <si>
    <t xml:space="preserve">Line</t>
  </si>
  <si>
    <t xml:space="preserve">AUD per hour</t>
  </si>
  <si>
    <t xml:space="preserve">% of price</t>
  </si>
  <si>
    <t xml:space="preserve">What it means</t>
  </si>
  <si>
    <t xml:space="preserve">NDIS price limit, weekday daytime</t>
  </si>
  <si>
    <t xml:space="preserve">SRC-002 — The most you may charge for one hour. It is a ceiling, not a target.</t>
  </si>
  <si>
    <t xml:space="preserve">Casual support worker wage, SACS Level 2</t>
  </si>
  <si>
    <t xml:space="preserve">SRC-009 — Includes the 25% casual loading paid in lieu of leave.</t>
  </si>
  <si>
    <t xml:space="preserve">Superannuation</t>
  </si>
  <si>
    <t xml:space="preserve">SRC-011 — 12.00% for FY2026-27.</t>
  </si>
  <si>
    <t xml:space="preserve">WorkCover premium</t>
  </si>
  <si>
    <t xml:space="preserve">SRC-012 — Victorian state average. The sector rate may be higher.</t>
  </si>
  <si>
    <t xml:space="preserve">Portable long service leave levy</t>
  </si>
  <si>
    <t xml:space="preserve">SRC-013 — 1.65%. Victoria-specific, covers NDIS-funded work, and it is the on-cost most often forgotten.</t>
  </si>
  <si>
    <t xml:space="preserve">Payroll tax</t>
  </si>
  <si>
    <t xml:space="preserve">ASM-003 — Zero while below the Victorian threshold.</t>
  </si>
  <si>
    <t xml:space="preserve">GROSS MARGIN PER BILLABLE HOUR</t>
  </si>
  <si>
    <t xml:space="preserve">Before ANY overhead. This is not profit.</t>
  </si>
  <si>
    <t xml:space="preserve">Administration, if you pay someone to do it</t>
  </si>
  <si>
    <t xml:space="preserve">A coordinator at SACS Level 3, fully loaded, for 0.25 of an hour per billable hour (ASM-008).</t>
  </si>
  <si>
    <t xml:space="preserve">CONTRIBUTION IF ADMINISTRATION IS PAID</t>
  </si>
  <si>
    <t xml:space="preserve">READ THIS ROW FIRST. If it is small or negative, the business only works while you do the administration yourself for nothing.</t>
  </si>
  <si>
    <t xml:space="preserve">CONTRIBUTION IF YOU DO THE ADMINISTRATION</t>
  </si>
  <si>
    <t xml:space="preserve">Costs no cash, but caps how many participants one person can carry.</t>
  </si>
  <si>
    <t xml:space="preserve">Sector reality check: National Disability Services reported about half of NDIS providers were loss-making in 2024-25 and 81% said current pricing is unsustainable (SRC-046). The rows above are the arithmetic behind that finding. The price is not the problem; the administration load is.</t>
  </si>
  <si>
    <t xml:space="preserve">Break-even and working capital</t>
  </si>
  <si>
    <t xml:space="preserve">Break-even is fixed cost divided by contribution per hour. Working capital is the cash that must sit behind the wage cycle permanently.</t>
  </si>
  <si>
    <t xml:space="preserve">Measure</t>
  </si>
  <si>
    <t xml:space="preserve">How it is calculated and what it means</t>
  </si>
  <si>
    <t xml:space="preserve">Fixed cost per month (base case)</t>
  </si>
  <si>
    <t xml:space="preserve">From the Costs sheet: monthly subtotal plus one twelfth of the annual subtotal.</t>
  </si>
  <si>
    <t xml:space="preserve">Break-even billable hours per month — you do the administration</t>
  </si>
  <si>
    <t xml:space="preserve">Fixed cost divided by contribution. About 0.6 of one participant using 15 hours a week.</t>
  </si>
  <si>
    <t xml:space="preserve">Break-even billable hours per month — administration is paid</t>
  </si>
  <si>
    <t xml:space="preserve">The same fixed cost against a much thinner contribution. About two participants.</t>
  </si>
  <si>
    <t xml:space="preserve">Billable hours to draw $5,000 a month — you do the administration</t>
  </si>
  <si>
    <t xml:space="preserve">About four participants at 15 hours a week, and roughly four to six support workers to deliver it.</t>
  </si>
  <si>
    <t xml:space="preserve">Billable hours to draw $5,000 a month — administration is paid</t>
  </si>
  <si>
    <t xml:space="preserve">If this number looks impossible for a new business, that is the finding.</t>
  </si>
  <si>
    <t xml:space="preserve">Target billable hours per month (from Drivers)</t>
  </si>
  <si>
    <t xml:space="preserve">About 4.6 participants at 15 hours a week.</t>
  </si>
  <si>
    <t xml:space="preserve">Monthly wage bill at target volume</t>
  </si>
  <si>
    <t xml:space="preserve">Fully loaded. This leaves your account before any invoice is paid.</t>
  </si>
  <si>
    <t xml:space="preserve">WORKING CAPITAL REQUIRED at the assumed payment lag</t>
  </si>
  <si>
    <t xml:space="preserve">Wages multiplied by the payment lag as a fraction of a month. Ring-fence this. It is SEPARATE from setup capital and it grows every time you win a participant.</t>
  </si>
  <si>
    <t xml:space="preserve">Working capital at a 30-day lag instead</t>
  </si>
  <si>
    <t xml:space="preserve">The prior working files omitted working capital entirely (DEF-001). This is the line that omission hid.</t>
  </si>
  <si>
    <t xml:space="preserve">Twelve-month cash, three scenarios</t>
  </si>
  <si>
    <t xml:space="preserve">All three assume you draw the amount set in Drivers (currently zero). Change that driver and every scenario recomputes.</t>
  </si>
  <si>
    <t xml:space="preserve">BASE: first client month 4, you do the administration</t>
  </si>
  <si>
    <t xml:space="preserve">Month</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</si>
  <si>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</si>
  <si>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</si>
  <si>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</si>
  <si>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</si>
  <si>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</si>
  <si>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</si>
  <si>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</si>
  <si>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</si>
  <si>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</si>
  <si>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</si>
  <si>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</si>
  <si>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</si>
  <si>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Year 1</t>
  </si>
  <si>
    <t xml:space="preserve">Billable hours</t>
  </si>
  <si>
    <t xml:space="preserve">Revenue</t>
  </si>
  <si>
    <t xml:space="preserve">Contribution</t>
  </si>
  <si>
    <t xml:space="preserve">Fixed costs</t>
  </si>
  <si>
    <t xml:space="preserve">Owner drawings</t>
  </si>
  <si>
    <t xml:space="preserve">Net cash in the month</t>
  </si>
  <si>
    <t xml:space="preserve">CUMULATIVE CASH</t>
  </si>
  <si>
    <t xml:space="preserve">Deepest cash hole in the year (column N above)</t>
  </si>
  <si>
    <t xml:space="preserve">SLOW: first client month 7, you do the administration</t>
  </si>
  <si>
    <t xml:space="preserve">PAID ADMIN: base ramp, but administration is paid</t>
  </si>
  <si>
    <t xml:space="preserve">DOWNSIDE: no participant at all for twelve months</t>
  </si>
  <si>
    <t xml:space="preserve">Month 1 already carries the full one-off setup cost, which is why every cumulative row starts negative. The DOWNSIDE row is REQ-SYS-07: it is the cash you must be willing to lose if no participant ever arrives.</t>
  </si>
  <si>
    <t xml:space="preserve">Support coordination delivered by you personally</t>
  </si>
  <si>
    <t xml:space="preserve">No support workers, no wage cycle, no working capital gap. The only driver that matters is billable utilisation.</t>
  </si>
  <si>
    <t xml:space="preserve">Price limit, Support Coordination Level 2</t>
  </si>
  <si>
    <t xml:space="preserve">SRC-005.</t>
  </si>
  <si>
    <t xml:space="preserve">Hours available per week</t>
  </si>
  <si>
    <t xml:space="preserve">ASM-011. Assumes owner-operator. ACT-001 must confirm.</t>
  </si>
  <si>
    <t xml:space="preserve">Billable utilisation</t>
  </si>
  <si>
    <t xml:space="preserve">ASM-013. Low confidence, no published benchmark.</t>
  </si>
  <si>
    <t xml:space="preserve">Billable hours per month</t>
  </si>
  <si>
    <t xml:space="preserve">Weekly billable hours annualised then monthly.</t>
  </si>
  <si>
    <t xml:space="preserve">Revenue per month</t>
  </si>
  <si>
    <t xml:space="preserve">Hours multiplied by the price limit.</t>
  </si>
  <si>
    <t xml:space="preserve">Fixed costs per month</t>
  </si>
  <si>
    <t xml:space="preserve">Same fixed base as core supports.</t>
  </si>
  <si>
    <t xml:space="preserve">NET CASH PER MONTH</t>
  </si>
  <si>
    <t xml:space="preserve">Before tax and before any drawing.</t>
  </si>
  <si>
    <t xml:space="preserve">NET CASH PER YEAR</t>
  </si>
  <si>
    <t xml:space="preserve">This is what the owner earns. Compare it to the core-supports scenarios.</t>
  </si>
  <si>
    <t xml:space="preserve">Break-even billable hours per month</t>
  </si>
  <si>
    <t xml:space="preserve">Very low, because there is no direct labour cost. Utilisation, not volume, is the constraint.</t>
  </si>
  <si>
    <t xml:space="preserve">One-off setup, no registration and no workers</t>
  </si>
  <si>
    <t xml:space="preserve">No audit and no policy manual, because mandatory registration for support coordination is currently PAUSED (SRC-018).</t>
  </si>
  <si>
    <t xml:space="preserve">UTILISATION SENSITIVITY</t>
  </si>
  <si>
    <t xml:space="preserve">Utilisation</t>
  </si>
  <si>
    <t xml:space="preserve">Net cash per year</t>
  </si>
  <si>
    <t xml:space="preserve">THE TRADE. This model earns more, on less capital, with no staff. Against that: the NDIS Review recommended restructuring support coordination into a navigator model, and that design and pilot work runs through 2026-2028 with the funding mechanism intended to change (SRC-049, RSK-003). You would be building on the one service line government has said it intends to redesign.</t>
  </si>
  <si>
    <t xml:space="preserve">What breaks the margin</t>
  </si>
  <si>
    <t xml:space="preserve">Each row changes ONE assumption and leaves everything else alone. Ranked by how much damage it does.</t>
  </si>
  <si>
    <t xml:space="preserve">If this assumption is wrong</t>
  </si>
  <si>
    <t xml:space="preserve">Gross margin per hour</t>
  </si>
  <si>
    <t xml:space="preserve">Change</t>
  </si>
  <si>
    <t xml:space="preserve">Which assumption</t>
  </si>
  <si>
    <t xml:space="preserve">Nothing is wrong — base case as sourced</t>
  </si>
  <si>
    <t xml:space="preserve">Administration is paid and runs at 0.40 hr per billable hour</t>
  </si>
  <si>
    <t xml:space="preserve">ASM-008 — the model's most dangerous assumption. This turns the margin NEGATIVE.</t>
  </si>
  <si>
    <t xml:space="preserve">Administration is paid at the assumed 0.25 hr per billable hour</t>
  </si>
  <si>
    <t xml:space="preserve">Workers sit at SACS Level 3, not Level 2</t>
  </si>
  <si>
    <t xml:space="preserve">ASM-002 — the award schedule could not be read; fairwork.gov.au is robots-blocked.</t>
  </si>
  <si>
    <t xml:space="preserve">The business crosses the Victorian payroll tax threshold</t>
  </si>
  <si>
    <t xml:space="preserve">ASM-003 — the threshold itself could not be confirmed.</t>
  </si>
  <si>
    <t xml:space="preserve">The disability-sector WorkCover rate is 3.0%, not the 1.8% state average</t>
  </si>
  <si>
    <t xml:space="preserve">ASM-004 — the industry rate sits in a Special Gazette that could not be read.</t>
  </si>
  <si>
    <t xml:space="preserve">Read the second row. There is a plausible, unfalsified version of this business in which every hour of core support you sell LOSES money. Nothing in the sourced evidence rules it out, because no source publishes an administration-hours benchmark. Closing ASM-008 with real data from an operating provider is the single highest-value thing you can do before committing capital.</t>
  </si>
</sst>
</file>

<file path=xl/styles.xml><?xml version="1.0" encoding="utf-8"?>
<styleSheet xmlns="http://schemas.openxmlformats.org/spreadsheetml/2006/main">
  <numFmts count="5">
    <numFmt numFmtId="164" formatCode="General"/>
    <numFmt numFmtId="165" formatCode="\$#,##0.00;&quot;($&quot;#,##0.00\);\-"/>
    <numFmt numFmtId="166" formatCode="0.0%"/>
    <numFmt numFmtId="167" formatCode="#,##0.0"/>
    <numFmt numFmtId="168" formatCode="\$#,##0;&quot;($&quot;#,##0\);\-"/>
  </numFmts>
  <fonts count="11">
    <font>
      <sz val="11"/>
      <color theme="1"/>
      <name val="Calibri"/>
      <family val="2"/>
      <charset val="1"/>
    </font>
    <font>
      <sz val="10"/>
      <name val="Arial"/>
      <family val="0"/>
    </font>
    <font>
      <sz val="10"/>
      <name val="Arial"/>
      <family val="0"/>
    </font>
    <font>
      <sz val="10"/>
      <name val="Arial"/>
      <family val="0"/>
    </font>
    <font>
      <b val="true"/>
      <sz val="14"/>
      <color rgb="FF1B2A38"/>
      <name val="Arial"/>
      <family val="0"/>
      <charset val="1"/>
    </font>
    <font>
      <i val="true"/>
      <sz val="9"/>
      <color rgb="FF55636E"/>
      <name val="Arial"/>
      <family val="0"/>
      <charset val="1"/>
    </font>
    <font>
      <b val="true"/>
      <sz val="11"/>
      <color rgb="FFFFFFFF"/>
      <name val="Arial"/>
      <family val="0"/>
      <charset val="1"/>
    </font>
    <font>
      <b val="true"/>
      <sz val="10"/>
      <name val="Arial"/>
      <family val="0"/>
      <charset val="1"/>
    </font>
    <font>
      <sz val="10"/>
      <name val="Arial"/>
      <family val="0"/>
      <charset val="1"/>
    </font>
    <font>
      <sz val="10"/>
      <color rgb="FF0000FF"/>
      <name val="Arial"/>
      <family val="0"/>
      <charset val="1"/>
    </font>
    <font>
      <b val="true"/>
      <i val="true"/>
      <sz val="9"/>
      <color rgb="FFB03A2E"/>
      <name val="Arial"/>
      <family val="0"/>
      <charset val="1"/>
    </font>
  </fonts>
  <fills count="5">
    <fill>
      <patternFill patternType="none"/>
    </fill>
    <fill>
      <patternFill patternType="gray125"/>
    </fill>
    <fill>
      <patternFill patternType="solid">
        <fgColor rgb="FF1B2A38"/>
        <bgColor rgb="FF003366"/>
      </patternFill>
    </fill>
    <fill>
      <patternFill patternType="solid">
        <fgColor rgb="FFFFFF00"/>
        <bgColor rgb="FFFFFF00"/>
      </patternFill>
    </fill>
    <fill>
      <patternFill patternType="solid">
        <fgColor rgb="FFEDF2F5"/>
        <bgColor rgb="FFFFFFFF"/>
      </patternFill>
    </fill>
  </fills>
  <borders count="2">
    <border diagonalUp="false" diagonalDown="false">
      <left/>
      <right/>
      <top/>
      <bottom/>
      <diagonal/>
    </border>
    <border diagonalUp="false" diagonalDown="false">
      <left style="thin">
        <color rgb="FFD5DEE4"/>
      </left>
      <right style="thin">
        <color rgb="FFD5DEE4"/>
      </right>
      <top style="thin">
        <color rgb="FFD5DEE4"/>
      </top>
      <bottom style="thin">
        <color rgb="FFD5DE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fals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6" fontId="9" fillId="0" borderId="1" xfId="0" applyFont="true" applyBorder="true" applyAlignment="true" applyProtection="false">
      <alignment horizontal="general" vertical="top" textRotation="0" wrapText="false" indent="0" shrinkToFit="false"/>
      <protection locked="true" hidden="false"/>
    </xf>
    <xf numFmtId="167" fontId="9" fillId="3" borderId="1" xfId="0" applyFont="true" applyBorder="true" applyAlignment="true" applyProtection="false">
      <alignment horizontal="general" vertical="top" textRotation="0" wrapText="false" indent="0" shrinkToFit="false"/>
      <protection locked="true" hidden="false"/>
    </xf>
    <xf numFmtId="168" fontId="9" fillId="3" borderId="1" xfId="0" applyFont="true" applyBorder="true" applyAlignment="true" applyProtection="false">
      <alignment horizontal="general" vertical="top" textRotation="0" wrapText="false" indent="0" shrinkToFit="false"/>
      <protection locked="true" hidden="false"/>
    </xf>
    <xf numFmtId="166" fontId="9" fillId="3" borderId="1" xfId="0" applyFont="true" applyBorder="true" applyAlignment="true" applyProtection="false">
      <alignment horizontal="general" vertical="top" textRotation="0" wrapText="false" indent="0" shrinkToFit="false"/>
      <protection locked="true" hidden="false"/>
    </xf>
    <xf numFmtId="164" fontId="7" fillId="4" borderId="1" xfId="0" applyFont="true" applyBorder="true" applyAlignment="true" applyProtection="false">
      <alignment horizontal="general" vertical="top" textRotation="0" wrapText="false" indent="0" shrinkToFit="false"/>
      <protection locked="true" hidden="false"/>
    </xf>
    <xf numFmtId="168" fontId="9" fillId="0" borderId="1" xfId="0" applyFont="true" applyBorder="true" applyAlignment="true" applyProtection="false">
      <alignment horizontal="general" vertical="top" textRotation="0" wrapText="false" indent="0" shrinkToFit="false"/>
      <protection locked="true" hidden="false"/>
    </xf>
    <xf numFmtId="168" fontId="8" fillId="0" borderId="1" xfId="0" applyFont="true" applyBorder="true" applyAlignment="true" applyProtection="false">
      <alignment horizontal="general" vertical="top" textRotation="0" wrapText="false" indent="0" shrinkToFit="false"/>
      <protection locked="true" hidden="false"/>
    </xf>
    <xf numFmtId="168" fontId="7" fillId="4" borderId="1" xfId="0" applyFont="true" applyBorder="true" applyAlignment="true" applyProtection="false">
      <alignment horizontal="general" vertical="top" textRotation="0" wrapText="false" indent="0" shrinkToFit="false"/>
      <protection locked="true" hidden="false"/>
    </xf>
    <xf numFmtId="164" fontId="8" fillId="4" borderId="1" xfId="0" applyFont="true" applyBorder="true" applyAlignment="true" applyProtection="false">
      <alignment horizontal="general" vertical="top" textRotation="0" wrapText="false" indent="0" shrinkToFit="false"/>
      <protection locked="true" hidden="false"/>
    </xf>
    <xf numFmtId="165" fontId="7" fillId="4"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false">
      <alignment horizontal="general" vertical="top" textRotation="0" wrapText="false" indent="0" shrinkToFit="false"/>
      <protection locked="true" hidden="false"/>
    </xf>
    <xf numFmtId="166" fontId="8" fillId="0" borderId="1" xfId="0" applyFont="true" applyBorder="true" applyAlignment="true" applyProtection="false">
      <alignment horizontal="general" vertical="top" textRotation="0" wrapText="false" indent="0" shrinkToFit="false"/>
      <protection locked="true" hidden="false"/>
    </xf>
    <xf numFmtId="166" fontId="7" fillId="4" borderId="1" xfId="0" applyFont="true" applyBorder="true" applyAlignment="true" applyProtection="false">
      <alignment horizontal="general" vertical="top" textRotation="0" wrapText="fals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7" fontId="8" fillId="0" borderId="1" xfId="0" applyFont="true" applyBorder="true" applyAlignment="true" applyProtection="false">
      <alignment horizontal="general" vertical="top" textRotation="0" wrapText="false" indent="0" shrinkToFit="false"/>
      <protection locked="true" hidden="false"/>
    </xf>
    <xf numFmtId="167" fontId="9" fillId="0" borderId="1" xfId="0" applyFont="true" applyBorder="true" applyAlignment="true" applyProtection="false">
      <alignment horizontal="general" vertical="top" textRotation="0" wrapText="false" indent="0" shrinkToFit="false"/>
      <protection locked="true" hidden="false"/>
    </xf>
    <xf numFmtId="167" fontId="7" fillId="0" borderId="1" xfId="0" applyFont="true" applyBorder="true" applyAlignment="true" applyProtection="false">
      <alignment horizontal="general" vertical="top" textRotation="0" wrapText="false" indent="0" shrinkToFit="false"/>
      <protection locked="true" hidden="false"/>
    </xf>
    <xf numFmtId="168" fontId="7" fillId="0" borderId="1" xfId="0" applyFont="true" applyBorder="true" applyAlignment="true" applyProtection="false">
      <alignment horizontal="general" vertical="top" textRotation="0" wrapText="false" indent="0" shrinkToFit="false"/>
      <protection locked="true" hidden="false"/>
    </xf>
    <xf numFmtId="165" fontId="7" fillId="0"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F2F5"/>
      <rgbColor rgb="FFCCFFFF"/>
      <rgbColor rgb="FF660066"/>
      <rgbColor rgb="FFFF8080"/>
      <rgbColor rgb="FF0066CC"/>
      <rgbColor rgb="FFD5DEE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636E"/>
      <rgbColor rgb="FF969696"/>
      <rgbColor rgb="FF003366"/>
      <rgbColor rgb="FF339966"/>
      <rgbColor rgb="FF003300"/>
      <rgbColor rgb="FF333300"/>
      <rgbColor rgb="FFB03A2E"/>
      <rgbColor rgb="FF993366"/>
      <rgbColor rgb="FF333399"/>
      <rgbColor rgb="FF1B2A3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08"/>
  </cols>
  <sheetData>
    <row r="1" customFormat="false" ht="17.35" hidden="false" customHeight="false" outlineLevel="0" collapsed="false">
      <c r="A1" s="1" t="s">
        <v>0</v>
      </c>
      <c r="B1" s="1"/>
    </row>
    <row r="2" customFormat="false" ht="15" hidden="false" customHeight="false" outlineLevel="0" collapsed="false">
      <c r="A2" s="2" t="s">
        <v>1</v>
      </c>
      <c r="B2" s="2"/>
    </row>
    <row r="4" customFormat="false" ht="27.75" hidden="false" customHeight="true" outlineLevel="0" collapsed="false">
      <c r="A4" s="3"/>
      <c r="B4" s="3" t="s">
        <v>2</v>
      </c>
    </row>
    <row r="5" customFormat="false" ht="27.75" hidden="false" customHeight="true" outlineLevel="0" collapsed="false">
      <c r="A5" s="4" t="s">
        <v>3</v>
      </c>
      <c r="B5" s="5" t="s">
        <v>4</v>
      </c>
    </row>
    <row r="6" customFormat="false" ht="27.75" hidden="false" customHeight="true" outlineLevel="0" collapsed="false">
      <c r="A6" s="4" t="s">
        <v>5</v>
      </c>
      <c r="B6" s="5" t="s">
        <v>6</v>
      </c>
    </row>
    <row r="7" customFormat="false" ht="66.75" hidden="false" customHeight="true" outlineLevel="0" collapsed="false">
      <c r="A7" s="4" t="s">
        <v>7</v>
      </c>
      <c r="B7" s="5" t="s">
        <v>8</v>
      </c>
    </row>
    <row r="8" customFormat="false" ht="27.75" hidden="false" customHeight="true" outlineLevel="0" collapsed="false">
      <c r="A8" s="4" t="s">
        <v>9</v>
      </c>
      <c r="B8" s="5" t="s">
        <v>10</v>
      </c>
    </row>
    <row r="9" customFormat="false" ht="54" hidden="false" customHeight="true" outlineLevel="0" collapsed="false">
      <c r="A9" s="4" t="s">
        <v>11</v>
      </c>
      <c r="B9" s="5" t="s">
        <v>12</v>
      </c>
    </row>
    <row r="10" customFormat="false" ht="27.75" hidden="false" customHeight="true" outlineLevel="0" collapsed="false">
      <c r="A10" s="4" t="s">
        <v>13</v>
      </c>
      <c r="B10" s="5" t="s">
        <v>14</v>
      </c>
    </row>
    <row r="11" customFormat="false" ht="15" hidden="false" customHeight="true" outlineLevel="0" collapsed="false">
      <c r="A11" s="4" t="s">
        <v>15</v>
      </c>
      <c r="B11" s="5" t="s">
        <v>16</v>
      </c>
    </row>
  </sheetData>
  <mergeCells count="2">
    <mergeCell ref="A1:B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12"/>
    <col collapsed="false" customWidth="true" hidden="false" outlineLevel="0" max="5" min="4" style="0" width="14"/>
    <col collapsed="false" customWidth="true" hidden="false" outlineLevel="0" max="6" min="6" style="0" width="62"/>
  </cols>
  <sheetData>
    <row r="1" customFormat="false" ht="17.35" hidden="false" customHeight="false" outlineLevel="0" collapsed="false">
      <c r="A1" s="1" t="s">
        <v>17</v>
      </c>
      <c r="B1" s="1"/>
      <c r="C1" s="1"/>
      <c r="D1" s="1"/>
      <c r="E1" s="1"/>
      <c r="F1" s="1"/>
    </row>
    <row r="2" customFormat="false" ht="15" hidden="false" customHeight="false" outlineLevel="0" collapsed="false">
      <c r="A2" s="2" t="s">
        <v>18</v>
      </c>
      <c r="B2" s="2"/>
      <c r="C2" s="2"/>
      <c r="D2" s="2"/>
      <c r="E2" s="2"/>
      <c r="F2" s="2"/>
    </row>
    <row r="4" customFormat="false" ht="27.75" hidden="false" customHeight="true" outlineLevel="0" collapsed="false">
      <c r="A4" s="3" t="s">
        <v>19</v>
      </c>
      <c r="B4" s="3" t="s">
        <v>20</v>
      </c>
      <c r="C4" s="3" t="s">
        <v>21</v>
      </c>
      <c r="D4" s="3" t="s">
        <v>22</v>
      </c>
      <c r="E4" s="3" t="s">
        <v>23</v>
      </c>
      <c r="F4" s="3" t="s">
        <v>24</v>
      </c>
    </row>
    <row r="5" customFormat="false" ht="30" hidden="false" customHeight="true" outlineLevel="0" collapsed="false">
      <c r="A5" s="5" t="s">
        <v>25</v>
      </c>
      <c r="B5" s="6" t="n">
        <v>73.58</v>
      </c>
      <c r="C5" s="7" t="s">
        <v>26</v>
      </c>
      <c r="D5" s="8" t="s">
        <v>27</v>
      </c>
      <c r="E5" s="8" t="s">
        <v>28</v>
      </c>
      <c r="F5" s="9" t="s">
        <v>29</v>
      </c>
    </row>
    <row r="6" customFormat="false" ht="30" hidden="false" customHeight="true" outlineLevel="0" collapsed="false">
      <c r="A6" s="5" t="s">
        <v>30</v>
      </c>
      <c r="B6" s="6" t="n">
        <v>73.58</v>
      </c>
      <c r="C6" s="7" t="s">
        <v>26</v>
      </c>
      <c r="D6" s="8" t="s">
        <v>31</v>
      </c>
      <c r="E6" s="8" t="s">
        <v>28</v>
      </c>
      <c r="F6" s="9" t="s">
        <v>32</v>
      </c>
    </row>
    <row r="7" customFormat="false" ht="30" hidden="false" customHeight="true" outlineLevel="0" collapsed="false">
      <c r="A7" s="5" t="s">
        <v>33</v>
      </c>
      <c r="B7" s="6" t="n">
        <v>100.14</v>
      </c>
      <c r="C7" s="7" t="s">
        <v>26</v>
      </c>
      <c r="D7" s="8" t="s">
        <v>34</v>
      </c>
      <c r="E7" s="8" t="s">
        <v>28</v>
      </c>
      <c r="F7" s="9" t="s">
        <v>32</v>
      </c>
    </row>
    <row r="8" customFormat="false" ht="30" hidden="false" customHeight="true" outlineLevel="0" collapsed="false">
      <c r="A8" s="5" t="s">
        <v>35</v>
      </c>
      <c r="B8" s="6" t="n">
        <v>45.28</v>
      </c>
      <c r="C8" s="7" t="s">
        <v>26</v>
      </c>
      <c r="D8" s="8" t="s">
        <v>36</v>
      </c>
      <c r="E8" s="8" t="s">
        <v>28</v>
      </c>
      <c r="F8" s="9" t="s">
        <v>37</v>
      </c>
    </row>
    <row r="9" customFormat="false" ht="30" hidden="false" customHeight="true" outlineLevel="0" collapsed="false">
      <c r="A9" s="5" t="s">
        <v>38</v>
      </c>
      <c r="B9" s="6" t="n">
        <v>50.61</v>
      </c>
      <c r="C9" s="7" t="s">
        <v>26</v>
      </c>
      <c r="D9" s="8" t="s">
        <v>36</v>
      </c>
      <c r="E9" s="8" t="s">
        <v>28</v>
      </c>
      <c r="F9" s="9" t="s">
        <v>39</v>
      </c>
    </row>
    <row r="10" customFormat="false" ht="30" hidden="false" customHeight="true" outlineLevel="0" collapsed="false">
      <c r="A10" s="5" t="s">
        <v>40</v>
      </c>
      <c r="B10" s="10" t="n">
        <v>0.12</v>
      </c>
      <c r="C10" s="7" t="s">
        <v>41</v>
      </c>
      <c r="D10" s="8" t="s">
        <v>42</v>
      </c>
      <c r="E10" s="8" t="s">
        <v>43</v>
      </c>
      <c r="F10" s="9" t="s">
        <v>44</v>
      </c>
    </row>
    <row r="11" customFormat="false" ht="30" hidden="false" customHeight="true" outlineLevel="0" collapsed="false">
      <c r="A11" s="5" t="s">
        <v>45</v>
      </c>
      <c r="B11" s="10" t="n">
        <v>0.018</v>
      </c>
      <c r="C11" s="7" t="s">
        <v>41</v>
      </c>
      <c r="D11" s="8" t="s">
        <v>46</v>
      </c>
      <c r="E11" s="8" t="s">
        <v>28</v>
      </c>
      <c r="F11" s="9" t="s">
        <v>47</v>
      </c>
    </row>
    <row r="12" customFormat="false" ht="30" hidden="false" customHeight="true" outlineLevel="0" collapsed="false">
      <c r="A12" s="5" t="s">
        <v>48</v>
      </c>
      <c r="B12" s="10" t="n">
        <v>0.0165</v>
      </c>
      <c r="C12" s="7" t="s">
        <v>41</v>
      </c>
      <c r="D12" s="8" t="s">
        <v>49</v>
      </c>
      <c r="E12" s="8" t="s">
        <v>43</v>
      </c>
      <c r="F12" s="9" t="s">
        <v>44</v>
      </c>
    </row>
    <row r="13" customFormat="false" ht="30" hidden="false" customHeight="true" outlineLevel="0" collapsed="false">
      <c r="A13" s="5" t="s">
        <v>50</v>
      </c>
      <c r="B13" s="10" t="n">
        <v>0</v>
      </c>
      <c r="C13" s="7" t="s">
        <v>41</v>
      </c>
      <c r="D13" s="8" t="s">
        <v>51</v>
      </c>
      <c r="E13" s="8" t="s">
        <v>28</v>
      </c>
      <c r="F13" s="9" t="s">
        <v>52</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 collapsed="false" customWidth="true" hidden="false" outlineLevel="0" max="5" min="3" style="0" width="12"/>
    <col collapsed="false" customWidth="true" hidden="false" outlineLevel="0" max="6" min="6" style="0" width="66"/>
  </cols>
  <sheetData>
    <row r="1" customFormat="false" ht="17.35" hidden="false" customHeight="false" outlineLevel="0" collapsed="false">
      <c r="A1" s="1" t="s">
        <v>53</v>
      </c>
      <c r="B1" s="1"/>
      <c r="C1" s="1"/>
      <c r="D1" s="1"/>
      <c r="E1" s="1"/>
      <c r="F1" s="1"/>
    </row>
    <row r="2" customFormat="false" ht="15" hidden="false" customHeight="false" outlineLevel="0" collapsed="false">
      <c r="A2" s="2" t="s">
        <v>54</v>
      </c>
      <c r="B2" s="2"/>
      <c r="C2" s="2"/>
      <c r="D2" s="2"/>
      <c r="E2" s="2"/>
      <c r="F2" s="2"/>
    </row>
    <row r="4" customFormat="false" ht="27.75" hidden="false" customHeight="true" outlineLevel="0" collapsed="false">
      <c r="A4" s="3" t="s">
        <v>55</v>
      </c>
      <c r="B4" s="3" t="s">
        <v>20</v>
      </c>
      <c r="C4" s="3" t="s">
        <v>21</v>
      </c>
      <c r="D4" s="3" t="s">
        <v>56</v>
      </c>
      <c r="E4" s="3" t="s">
        <v>23</v>
      </c>
      <c r="F4" s="3" t="s">
        <v>57</v>
      </c>
    </row>
    <row r="5" customFormat="false" ht="30" hidden="false" customHeight="true" outlineLevel="0" collapsed="false">
      <c r="A5" s="5" t="s">
        <v>58</v>
      </c>
      <c r="B5" s="11" t="n">
        <v>0.25</v>
      </c>
      <c r="C5" s="7" t="s">
        <v>59</v>
      </c>
      <c r="D5" s="8" t="s">
        <v>60</v>
      </c>
      <c r="E5" s="8" t="s">
        <v>61</v>
      </c>
      <c r="F5" s="9" t="s">
        <v>62</v>
      </c>
    </row>
    <row r="6" customFormat="false" ht="30" hidden="false" customHeight="true" outlineLevel="0" collapsed="false">
      <c r="A6" s="5" t="s">
        <v>63</v>
      </c>
      <c r="B6" s="11" t="n">
        <v>14</v>
      </c>
      <c r="C6" s="7" t="s">
        <v>64</v>
      </c>
      <c r="D6" s="8" t="s">
        <v>65</v>
      </c>
      <c r="E6" s="8" t="s">
        <v>61</v>
      </c>
      <c r="F6" s="9" t="s">
        <v>66</v>
      </c>
    </row>
    <row r="7" customFormat="false" ht="30" hidden="false" customHeight="true" outlineLevel="0" collapsed="false">
      <c r="A7" s="5" t="s">
        <v>67</v>
      </c>
      <c r="B7" s="12" t="n">
        <v>300</v>
      </c>
      <c r="C7" s="7" t="s">
        <v>68</v>
      </c>
      <c r="D7" s="8" t="s">
        <v>69</v>
      </c>
      <c r="E7" s="8" t="s">
        <v>61</v>
      </c>
      <c r="F7" s="9" t="s">
        <v>70</v>
      </c>
    </row>
    <row r="8" customFormat="false" ht="30" hidden="false" customHeight="true" outlineLevel="0" collapsed="false">
      <c r="A8" s="5" t="s">
        <v>71</v>
      </c>
      <c r="B8" s="12" t="n">
        <v>200</v>
      </c>
      <c r="C8" s="7" t="s">
        <v>68</v>
      </c>
      <c r="D8" s="8" t="s">
        <v>72</v>
      </c>
      <c r="E8" s="8" t="s">
        <v>61</v>
      </c>
      <c r="F8" s="9" t="s">
        <v>73</v>
      </c>
    </row>
    <row r="9" customFormat="false" ht="30" hidden="false" customHeight="true" outlineLevel="0" collapsed="false">
      <c r="A9" s="5" t="s">
        <v>74</v>
      </c>
      <c r="B9" s="12" t="n">
        <v>2500</v>
      </c>
      <c r="C9" s="7" t="s">
        <v>75</v>
      </c>
      <c r="D9" s="8" t="s">
        <v>76</v>
      </c>
      <c r="E9" s="8" t="s">
        <v>61</v>
      </c>
      <c r="F9" s="9" t="s">
        <v>77</v>
      </c>
    </row>
    <row r="10" customFormat="false" ht="30" hidden="false" customHeight="true" outlineLevel="0" collapsed="false">
      <c r="A10" s="5" t="s">
        <v>78</v>
      </c>
      <c r="B10" s="13" t="n">
        <v>0.55</v>
      </c>
      <c r="C10" s="7" t="s">
        <v>41</v>
      </c>
      <c r="D10" s="8" t="s">
        <v>79</v>
      </c>
      <c r="E10" s="8" t="s">
        <v>61</v>
      </c>
      <c r="F10" s="9" t="s">
        <v>80</v>
      </c>
    </row>
    <row r="11" customFormat="false" ht="30" hidden="false" customHeight="true" outlineLevel="0" collapsed="false">
      <c r="A11" s="5" t="s">
        <v>81</v>
      </c>
      <c r="B11" s="11" t="n">
        <v>38</v>
      </c>
      <c r="C11" s="7" t="s">
        <v>59</v>
      </c>
      <c r="D11" s="8" t="s">
        <v>82</v>
      </c>
      <c r="E11" s="8" t="s">
        <v>61</v>
      </c>
      <c r="F11" s="9" t="s">
        <v>83</v>
      </c>
    </row>
    <row r="12" customFormat="false" ht="30" hidden="false" customHeight="true" outlineLevel="0" collapsed="false">
      <c r="A12" s="5" t="s">
        <v>84</v>
      </c>
      <c r="B12" s="11" t="n">
        <v>3</v>
      </c>
      <c r="C12" s="7" t="s">
        <v>85</v>
      </c>
      <c r="D12" s="8" t="s">
        <v>44</v>
      </c>
      <c r="E12" s="8" t="s">
        <v>61</v>
      </c>
      <c r="F12" s="9" t="s">
        <v>86</v>
      </c>
    </row>
    <row r="13" customFormat="false" ht="30" hidden="false" customHeight="true" outlineLevel="0" collapsed="false">
      <c r="A13" s="5" t="s">
        <v>87</v>
      </c>
      <c r="B13" s="12" t="n">
        <v>0</v>
      </c>
      <c r="C13" s="7" t="s">
        <v>68</v>
      </c>
      <c r="D13" s="8" t="s">
        <v>88</v>
      </c>
      <c r="E13" s="8" t="s">
        <v>61</v>
      </c>
      <c r="F13" s="9" t="s">
        <v>89</v>
      </c>
    </row>
    <row r="14" customFormat="false" ht="30" hidden="false" customHeight="true" outlineLevel="0" collapsed="false">
      <c r="A14" s="5" t="s">
        <v>90</v>
      </c>
      <c r="B14" s="11" t="n">
        <v>300</v>
      </c>
      <c r="C14" s="7" t="s">
        <v>59</v>
      </c>
      <c r="D14" s="8" t="s">
        <v>44</v>
      </c>
      <c r="E14" s="8" t="s">
        <v>61</v>
      </c>
      <c r="F14" s="9" t="s">
        <v>91</v>
      </c>
    </row>
  </sheetData>
  <mergeCells count="2">
    <mergeCell ref="A1:F1"/>
    <mergeCell ref="A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4"/>
    <col collapsed="false" customWidth="true" hidden="false" outlineLevel="0" max="6" min="5" style="0" width="12"/>
    <col collapsed="false" customWidth="true" hidden="false" outlineLevel="0" max="7" min="7" style="0" width="50"/>
  </cols>
  <sheetData>
    <row r="1" customFormat="false" ht="17.35" hidden="false" customHeight="false" outlineLevel="0" collapsed="false">
      <c r="A1" s="1" t="s">
        <v>92</v>
      </c>
      <c r="B1" s="1"/>
      <c r="C1" s="1"/>
      <c r="D1" s="1"/>
      <c r="E1" s="1"/>
      <c r="F1" s="1"/>
      <c r="G1" s="1"/>
    </row>
    <row r="2" customFormat="false" ht="15" hidden="false" customHeight="false" outlineLevel="0" collapsed="false">
      <c r="A2" s="2" t="s">
        <v>93</v>
      </c>
      <c r="B2" s="2"/>
      <c r="C2" s="2"/>
      <c r="D2" s="2"/>
      <c r="E2" s="2"/>
      <c r="F2" s="2"/>
      <c r="G2" s="2"/>
    </row>
    <row r="4" customFormat="false" ht="27.75" hidden="false" customHeight="true" outlineLevel="0" collapsed="false">
      <c r="A4" s="3" t="s">
        <v>94</v>
      </c>
      <c r="B4" s="3" t="s">
        <v>61</v>
      </c>
      <c r="C4" s="3" t="s">
        <v>95</v>
      </c>
      <c r="D4" s="3" t="s">
        <v>43</v>
      </c>
      <c r="E4" s="3" t="s">
        <v>22</v>
      </c>
      <c r="F4" s="3" t="s">
        <v>23</v>
      </c>
      <c r="G4" s="3" t="s">
        <v>96</v>
      </c>
    </row>
    <row r="5" customFormat="false" ht="15" hidden="false" customHeight="false" outlineLevel="0" collapsed="false">
      <c r="A5" s="14" t="s">
        <v>97</v>
      </c>
    </row>
    <row r="6" customFormat="false" ht="25.5" hidden="false" customHeight="true" outlineLevel="0" collapsed="false">
      <c r="A6" s="5" t="s">
        <v>98</v>
      </c>
      <c r="B6" s="15" t="n">
        <v>636</v>
      </c>
      <c r="C6" s="15" t="n">
        <v>636</v>
      </c>
      <c r="D6" s="15" t="n">
        <v>636</v>
      </c>
      <c r="E6" s="8" t="s">
        <v>99</v>
      </c>
      <c r="F6" s="8" t="s">
        <v>28</v>
      </c>
      <c r="G6" s="9" t="s">
        <v>100</v>
      </c>
    </row>
    <row r="7" customFormat="false" ht="25.5" hidden="false" customHeight="true" outlineLevel="0" collapsed="false">
      <c r="A7" s="5" t="s">
        <v>101</v>
      </c>
      <c r="B7" s="15" t="n">
        <v>108</v>
      </c>
      <c r="C7" s="15" t="n">
        <v>108</v>
      </c>
      <c r="D7" s="15" t="n">
        <v>108</v>
      </c>
      <c r="E7" s="8" t="s">
        <v>102</v>
      </c>
      <c r="F7" s="8" t="s">
        <v>28</v>
      </c>
      <c r="G7" s="9" t="s">
        <v>103</v>
      </c>
    </row>
    <row r="8" customFormat="false" ht="25.5" hidden="false" customHeight="true" outlineLevel="0" collapsed="false">
      <c r="A8" s="5" t="s">
        <v>104</v>
      </c>
      <c r="B8" s="15" t="n">
        <v>0</v>
      </c>
      <c r="C8" s="15" t="n">
        <v>0</v>
      </c>
      <c r="D8" s="15" t="n">
        <v>0</v>
      </c>
      <c r="E8" s="8" t="s">
        <v>105</v>
      </c>
      <c r="F8" s="8" t="s">
        <v>43</v>
      </c>
      <c r="G8" s="9" t="s">
        <v>106</v>
      </c>
    </row>
    <row r="9" customFormat="false" ht="25.5" hidden="false" customHeight="true" outlineLevel="0" collapsed="false">
      <c r="A9" s="5" t="s">
        <v>107</v>
      </c>
      <c r="B9" s="15" t="n">
        <v>0</v>
      </c>
      <c r="C9" s="15" t="n">
        <v>0</v>
      </c>
      <c r="D9" s="15" t="n">
        <v>0</v>
      </c>
      <c r="E9" s="8" t="s">
        <v>108</v>
      </c>
      <c r="F9" s="8" t="s">
        <v>43</v>
      </c>
      <c r="G9" s="9" t="s">
        <v>109</v>
      </c>
    </row>
    <row r="10" customFormat="false" ht="25.5" hidden="false" customHeight="true" outlineLevel="0" collapsed="false">
      <c r="A10" s="5" t="s">
        <v>110</v>
      </c>
      <c r="B10" s="15" t="n">
        <v>649</v>
      </c>
      <c r="C10" s="15" t="n">
        <v>1080</v>
      </c>
      <c r="D10" s="15" t="n">
        <v>1825</v>
      </c>
      <c r="E10" s="8" t="s">
        <v>111</v>
      </c>
      <c r="F10" s="8" t="s">
        <v>43</v>
      </c>
      <c r="G10" s="9" t="s">
        <v>112</v>
      </c>
    </row>
    <row r="11" customFormat="false" ht="25.5" hidden="false" customHeight="true" outlineLevel="0" collapsed="false">
      <c r="A11" s="5" t="s">
        <v>113</v>
      </c>
      <c r="B11" s="15" t="n">
        <v>3500</v>
      </c>
      <c r="C11" s="15" t="n">
        <v>4750</v>
      </c>
      <c r="D11" s="15" t="n">
        <v>6000</v>
      </c>
      <c r="E11" s="8" t="s">
        <v>114</v>
      </c>
      <c r="F11" s="8" t="s">
        <v>28</v>
      </c>
      <c r="G11" s="9" t="s">
        <v>115</v>
      </c>
    </row>
    <row r="12" customFormat="false" ht="22.35" hidden="false" customHeight="false" outlineLevel="0" collapsed="false">
      <c r="A12" s="7" t="s">
        <v>116</v>
      </c>
      <c r="B12" s="16" t="n">
        <f aca="false">Drivers!$B$9</f>
        <v>2500</v>
      </c>
      <c r="C12" s="16" t="n">
        <f aca="false">Drivers!$B$9</f>
        <v>2500</v>
      </c>
      <c r="D12" s="16" t="n">
        <f aca="false">Drivers!$B$9</f>
        <v>2500</v>
      </c>
      <c r="E12" s="8" t="s">
        <v>76</v>
      </c>
      <c r="F12" s="8" t="s">
        <v>61</v>
      </c>
      <c r="G12" s="9" t="s">
        <v>117</v>
      </c>
    </row>
    <row r="13" customFormat="false" ht="22.35" hidden="false" customHeight="false" outlineLevel="0" collapsed="false">
      <c r="A13" s="5" t="s">
        <v>118</v>
      </c>
      <c r="B13" s="16" t="n">
        <f aca="false">(139.2+290)*(Drivers!$B$12+1)</f>
        <v>1716.8</v>
      </c>
      <c r="C13" s="16" t="n">
        <f aca="false">(139.2+290)*(Drivers!$B$12+1)</f>
        <v>1716.8</v>
      </c>
      <c r="D13" s="16" t="n">
        <f aca="false">(139.2+290)*(Drivers!$B$12+1)</f>
        <v>1716.8</v>
      </c>
      <c r="E13" s="8" t="s">
        <v>119</v>
      </c>
      <c r="F13" s="8" t="s">
        <v>43</v>
      </c>
      <c r="G13" s="9" t="s">
        <v>120</v>
      </c>
    </row>
    <row r="14" customFormat="false" ht="15" hidden="false" customHeight="false" outlineLevel="0" collapsed="false">
      <c r="A14" s="14" t="s">
        <v>121</v>
      </c>
      <c r="B14" s="17" t="n">
        <f aca="false">SUM(B6:B13)</f>
        <v>9109.8</v>
      </c>
      <c r="C14" s="17" t="n">
        <f aca="false">SUM(C6:C13)</f>
        <v>10790.8</v>
      </c>
      <c r="D14" s="17" t="n">
        <f aca="false">SUM(D6:D13)</f>
        <v>12785.8</v>
      </c>
      <c r="E14" s="18"/>
      <c r="F14" s="18"/>
      <c r="G14" s="18"/>
    </row>
    <row r="16" customFormat="false" ht="15" hidden="false" customHeight="false" outlineLevel="0" collapsed="false">
      <c r="A16" s="14" t="s">
        <v>122</v>
      </c>
    </row>
    <row r="17" customFormat="false" ht="15" hidden="false" customHeight="false" outlineLevel="0" collapsed="false">
      <c r="A17" s="5" t="s">
        <v>123</v>
      </c>
      <c r="B17" s="15" t="n">
        <v>45</v>
      </c>
      <c r="C17" s="15" t="n">
        <v>45</v>
      </c>
      <c r="D17" s="15" t="n">
        <v>125</v>
      </c>
      <c r="E17" s="8" t="s">
        <v>124</v>
      </c>
      <c r="F17" s="8" t="s">
        <v>43</v>
      </c>
      <c r="G17" s="9" t="s">
        <v>125</v>
      </c>
    </row>
    <row r="18" customFormat="false" ht="15" hidden="false" customHeight="false" outlineLevel="0" collapsed="false">
      <c r="A18" s="5" t="s">
        <v>126</v>
      </c>
      <c r="B18" s="15" t="n">
        <v>78</v>
      </c>
      <c r="C18" s="15" t="n">
        <v>78</v>
      </c>
      <c r="D18" s="15" t="n">
        <v>143</v>
      </c>
      <c r="E18" s="8" t="s">
        <v>127</v>
      </c>
      <c r="F18" s="8" t="s">
        <v>43</v>
      </c>
      <c r="G18" s="9" t="s">
        <v>125</v>
      </c>
    </row>
    <row r="19" customFormat="false" ht="25.5" hidden="false" customHeight="true" outlineLevel="0" collapsed="false">
      <c r="A19" s="5" t="s">
        <v>128</v>
      </c>
      <c r="B19" s="15" t="n">
        <v>200</v>
      </c>
      <c r="C19" s="16" t="n">
        <f aca="false">Drivers!$B$7</f>
        <v>300</v>
      </c>
      <c r="D19" s="15" t="n">
        <v>500</v>
      </c>
      <c r="E19" s="8" t="s">
        <v>69</v>
      </c>
      <c r="F19" s="8" t="s">
        <v>61</v>
      </c>
      <c r="G19" s="9" t="s">
        <v>129</v>
      </c>
    </row>
    <row r="20" customFormat="false" ht="25.5" hidden="false" customHeight="true" outlineLevel="0" collapsed="false">
      <c r="A20" s="5" t="s">
        <v>130</v>
      </c>
      <c r="B20" s="15" t="n">
        <v>150</v>
      </c>
      <c r="C20" s="16" t="n">
        <f aca="false">Drivers!$B$8</f>
        <v>200</v>
      </c>
      <c r="D20" s="15" t="n">
        <v>350</v>
      </c>
      <c r="E20" s="8" t="s">
        <v>72</v>
      </c>
      <c r="F20" s="8" t="s">
        <v>61</v>
      </c>
      <c r="G20" s="9" t="s">
        <v>131</v>
      </c>
    </row>
    <row r="21" customFormat="false" ht="15" hidden="false" customHeight="false" outlineLevel="0" collapsed="false">
      <c r="A21" s="14" t="s">
        <v>132</v>
      </c>
      <c r="B21" s="17" t="n">
        <f aca="false">SUM(B17:B20)</f>
        <v>473</v>
      </c>
      <c r="C21" s="17" t="n">
        <f aca="false">SUM(C17:C20)</f>
        <v>623</v>
      </c>
      <c r="D21" s="17" t="n">
        <f aca="false">SUM(D17:D20)</f>
        <v>1118</v>
      </c>
      <c r="E21" s="18"/>
      <c r="F21" s="18"/>
      <c r="G21" s="18"/>
    </row>
    <row r="23" customFormat="false" ht="15" hidden="false" customHeight="false" outlineLevel="0" collapsed="false">
      <c r="A23" s="14" t="s">
        <v>133</v>
      </c>
    </row>
    <row r="24" customFormat="false" ht="25.5" hidden="false" customHeight="true" outlineLevel="0" collapsed="false">
      <c r="A24" s="5" t="s">
        <v>134</v>
      </c>
      <c r="B24" s="15" t="n">
        <v>342</v>
      </c>
      <c r="C24" s="15" t="n">
        <v>342</v>
      </c>
      <c r="D24" s="15" t="n">
        <v>342</v>
      </c>
      <c r="E24" s="8" t="s">
        <v>135</v>
      </c>
      <c r="F24" s="8" t="s">
        <v>28</v>
      </c>
      <c r="G24" s="9" t="s">
        <v>100</v>
      </c>
    </row>
    <row r="25" customFormat="false" ht="25.5" hidden="false" customHeight="true" outlineLevel="0" collapsed="false">
      <c r="A25" s="5" t="s">
        <v>136</v>
      </c>
      <c r="B25" s="15" t="n">
        <v>1200</v>
      </c>
      <c r="C25" s="15" t="n">
        <v>2350</v>
      </c>
      <c r="D25" s="15" t="n">
        <v>3500</v>
      </c>
      <c r="E25" s="8" t="s">
        <v>137</v>
      </c>
      <c r="F25" s="8" t="s">
        <v>61</v>
      </c>
      <c r="G25" s="9" t="s">
        <v>138</v>
      </c>
    </row>
    <row r="26" customFormat="false" ht="15" hidden="false" customHeight="false" outlineLevel="0" collapsed="false">
      <c r="A26" s="14" t="s">
        <v>139</v>
      </c>
      <c r="B26" s="17" t="n">
        <f aca="false">SUM(B24:B25)</f>
        <v>1542</v>
      </c>
      <c r="C26" s="17" t="n">
        <f aca="false">SUM(C24:C25)</f>
        <v>2692</v>
      </c>
      <c r="D26" s="17" t="n">
        <f aca="false">SUM(D24:D25)</f>
        <v>3842</v>
      </c>
      <c r="E26" s="18"/>
      <c r="F26" s="18"/>
      <c r="G26" s="18"/>
    </row>
    <row r="28" customFormat="false" ht="15" hidden="false" customHeight="false" outlineLevel="0" collapsed="false">
      <c r="A28" s="14" t="s">
        <v>140</v>
      </c>
      <c r="B28" s="19" t="n">
        <f aca="false">B21+B26/12</f>
        <v>601.5</v>
      </c>
      <c r="C28" s="19" t="n">
        <f aca="false">C21+C26/12</f>
        <v>847.333333333333</v>
      </c>
      <c r="D28" s="19" t="n">
        <f aca="false">D21+D26/12</f>
        <v>1438.16666666667</v>
      </c>
      <c r="E28" s="18"/>
      <c r="F28" s="18"/>
      <c r="G28" s="18"/>
    </row>
    <row r="30" customFormat="false" ht="15" hidden="false" customHeight="true" outlineLevel="0" collapsed="false">
      <c r="A30" s="20" t="s">
        <v>141</v>
      </c>
      <c r="B30" s="20"/>
      <c r="C30" s="20"/>
      <c r="D30" s="20"/>
      <c r="E30" s="20"/>
      <c r="F30" s="20"/>
      <c r="G30" s="20"/>
    </row>
    <row r="31" customFormat="false" ht="15" hidden="false" customHeight="true" outlineLevel="0" collapsed="false">
      <c r="A31" s="9" t="s">
        <v>142</v>
      </c>
      <c r="B31" s="9"/>
      <c r="C31" s="9"/>
      <c r="D31" s="9"/>
      <c r="E31" s="9"/>
      <c r="F31" s="9"/>
      <c r="G31" s="9"/>
    </row>
    <row r="32" customFormat="false" ht="15" hidden="false" customHeight="true" outlineLevel="0" collapsed="false">
      <c r="A32" s="9" t="s">
        <v>143</v>
      </c>
      <c r="B32" s="9"/>
      <c r="C32" s="9"/>
      <c r="D32" s="9"/>
      <c r="E32" s="9"/>
      <c r="F32" s="9"/>
      <c r="G32" s="9"/>
    </row>
    <row r="33" customFormat="false" ht="15" hidden="false" customHeight="true" outlineLevel="0" collapsed="false">
      <c r="A33" s="9" t="s">
        <v>144</v>
      </c>
      <c r="B33" s="9"/>
      <c r="C33" s="9"/>
      <c r="D33" s="9"/>
      <c r="E33" s="9"/>
      <c r="F33" s="9"/>
      <c r="G33" s="9"/>
    </row>
    <row r="34" customFormat="false" ht="15" hidden="false" customHeight="true" outlineLevel="0" collapsed="false">
      <c r="A34" s="9" t="s">
        <v>145</v>
      </c>
      <c r="B34" s="9"/>
      <c r="C34" s="9"/>
      <c r="D34" s="9"/>
      <c r="E34" s="9"/>
      <c r="F34" s="9"/>
      <c r="G34" s="9"/>
    </row>
    <row r="35" customFormat="false" ht="15" hidden="false" customHeight="true" outlineLevel="0" collapsed="false">
      <c r="A35" s="9" t="s">
        <v>146</v>
      </c>
      <c r="B35" s="9"/>
      <c r="C35" s="9"/>
      <c r="D35" s="9"/>
      <c r="E35" s="9"/>
      <c r="F35" s="9"/>
      <c r="G35" s="9"/>
    </row>
  </sheetData>
  <mergeCells count="8">
    <mergeCell ref="A1:G1"/>
    <mergeCell ref="A2:G2"/>
    <mergeCell ref="A30:G30"/>
    <mergeCell ref="A31:G31"/>
    <mergeCell ref="A32:G32"/>
    <mergeCell ref="A33:G33"/>
    <mergeCell ref="A34:G34"/>
    <mergeCell ref="A35:G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14"/>
    <col collapsed="false" customWidth="true" hidden="false" outlineLevel="0" max="4" min="4" style="0" width="66"/>
  </cols>
  <sheetData>
    <row r="1" customFormat="false" ht="17.35" hidden="false" customHeight="false" outlineLevel="0" collapsed="false">
      <c r="A1" s="1" t="s">
        <v>147</v>
      </c>
      <c r="B1" s="1"/>
      <c r="C1" s="1"/>
      <c r="D1" s="1"/>
    </row>
    <row r="2" customFormat="false" ht="15" hidden="false" customHeight="false" outlineLevel="0" collapsed="false">
      <c r="A2" s="2" t="s">
        <v>148</v>
      </c>
      <c r="B2" s="2"/>
      <c r="C2" s="2"/>
      <c r="D2" s="2"/>
    </row>
    <row r="4" customFormat="false" ht="27.75" hidden="false" customHeight="true" outlineLevel="0" collapsed="false">
      <c r="A4" s="3" t="s">
        <v>149</v>
      </c>
      <c r="B4" s="3" t="s">
        <v>150</v>
      </c>
      <c r="C4" s="3" t="s">
        <v>151</v>
      </c>
      <c r="D4" s="3" t="s">
        <v>152</v>
      </c>
    </row>
    <row r="5" customFormat="false" ht="25.5" hidden="false" customHeight="true" outlineLevel="0" collapsed="false">
      <c r="A5" s="5" t="s">
        <v>153</v>
      </c>
      <c r="B5" s="21" t="n">
        <f aca="false">Inputs!$B$5</f>
        <v>73.58</v>
      </c>
      <c r="C5" s="22" t="n">
        <f aca="false">B5/Inputs!$B$5</f>
        <v>1</v>
      </c>
      <c r="D5" s="9" t="s">
        <v>154</v>
      </c>
    </row>
    <row r="6" customFormat="false" ht="25.5" hidden="false" customHeight="true" outlineLevel="0" collapsed="false">
      <c r="A6" s="5" t="s">
        <v>155</v>
      </c>
      <c r="B6" s="21" t="n">
        <f aca="false">-Inputs!$B$8</f>
        <v>-45.28</v>
      </c>
      <c r="C6" s="22" t="n">
        <f aca="false">B6/Inputs!$B$5</f>
        <v>-0.615384615384615</v>
      </c>
      <c r="D6" s="9" t="s">
        <v>156</v>
      </c>
    </row>
    <row r="7" customFormat="false" ht="25.5" hidden="false" customHeight="true" outlineLevel="0" collapsed="false">
      <c r="A7" s="5" t="s">
        <v>157</v>
      </c>
      <c r="B7" s="21" t="n">
        <f aca="false">-Inputs!$B$8*Inputs!$B$10</f>
        <v>-5.4336</v>
      </c>
      <c r="C7" s="22" t="n">
        <f aca="false">B7/Inputs!$B$5</f>
        <v>-0.0738461538461539</v>
      </c>
      <c r="D7" s="9" t="s">
        <v>158</v>
      </c>
    </row>
    <row r="8" customFormat="false" ht="25.5" hidden="false" customHeight="true" outlineLevel="0" collapsed="false">
      <c r="A8" s="5" t="s">
        <v>159</v>
      </c>
      <c r="B8" s="21" t="n">
        <f aca="false">-Inputs!$B$8*Inputs!$B$11</f>
        <v>-0.81504</v>
      </c>
      <c r="C8" s="22" t="n">
        <f aca="false">B8/Inputs!$B$5</f>
        <v>-0.0110769230769231</v>
      </c>
      <c r="D8" s="9" t="s">
        <v>160</v>
      </c>
    </row>
    <row r="9" customFormat="false" ht="25.5" hidden="false" customHeight="true" outlineLevel="0" collapsed="false">
      <c r="A9" s="5" t="s">
        <v>161</v>
      </c>
      <c r="B9" s="21" t="n">
        <f aca="false">-Inputs!$B$8*Inputs!$B$12</f>
        <v>-0.74712</v>
      </c>
      <c r="C9" s="22" t="n">
        <f aca="false">B9/Inputs!$B$5</f>
        <v>-0.0101538461538462</v>
      </c>
      <c r="D9" s="9" t="s">
        <v>162</v>
      </c>
    </row>
    <row r="10" customFormat="false" ht="25.5" hidden="false" customHeight="true" outlineLevel="0" collapsed="false">
      <c r="A10" s="5" t="s">
        <v>163</v>
      </c>
      <c r="B10" s="21" t="n">
        <f aca="false">-Inputs!$B$8*Inputs!$B$13</f>
        <v>-0</v>
      </c>
      <c r="C10" s="22" t="n">
        <f aca="false">B10/Inputs!$B$5</f>
        <v>-0</v>
      </c>
      <c r="D10" s="9" t="s">
        <v>164</v>
      </c>
    </row>
    <row r="11" customFormat="false" ht="15" hidden="false" customHeight="false" outlineLevel="0" collapsed="false">
      <c r="A11" s="14" t="s">
        <v>165</v>
      </c>
      <c r="B11" s="19" t="n">
        <f aca="false">SUM(B5:B10)</f>
        <v>21.30424</v>
      </c>
      <c r="C11" s="23" t="n">
        <f aca="false">B11/Inputs!$B$5</f>
        <v>0.289538461538462</v>
      </c>
      <c r="D11" s="24" t="s">
        <v>166</v>
      </c>
    </row>
    <row r="13" customFormat="false" ht="22.35" hidden="false" customHeight="false" outlineLevel="0" collapsed="false">
      <c r="A13" s="5" t="s">
        <v>167</v>
      </c>
      <c r="B13" s="21" t="n">
        <f aca="false">-Inputs!$B$9*(1+Inputs!$B$10+Inputs!$B$11+Inputs!$B$12+Inputs!$B$13)*Drivers!$B$5</f>
        <v>-14.60731125</v>
      </c>
      <c r="C13" s="22" t="n">
        <f aca="false">B13/Inputs!$B$5</f>
        <v>-0.198522849279696</v>
      </c>
      <c r="D13" s="9" t="s">
        <v>168</v>
      </c>
    </row>
    <row r="14" customFormat="false" ht="30" hidden="false" customHeight="true" outlineLevel="0" collapsed="false">
      <c r="A14" s="14" t="s">
        <v>169</v>
      </c>
      <c r="B14" s="19" t="n">
        <f aca="false">B11+B13</f>
        <v>6.69692875</v>
      </c>
      <c r="C14" s="23" t="n">
        <f aca="false">B14/Inputs!$B$5</f>
        <v>0.0910156122587659</v>
      </c>
      <c r="D14" s="24" t="s">
        <v>170</v>
      </c>
    </row>
    <row r="16" customFormat="false" ht="15" hidden="false" customHeight="false" outlineLevel="0" collapsed="false">
      <c r="A16" s="14" t="s">
        <v>171</v>
      </c>
      <c r="B16" s="19" t="n">
        <f aca="false">B11</f>
        <v>21.30424</v>
      </c>
      <c r="C16" s="23" t="n">
        <f aca="false">B16/Inputs!$B$5</f>
        <v>0.289538461538462</v>
      </c>
      <c r="D16" s="24" t="s">
        <v>172</v>
      </c>
    </row>
    <row r="18" customFormat="false" ht="43.5" hidden="false" customHeight="true" outlineLevel="0" collapsed="false">
      <c r="A18" s="20" t="s">
        <v>173</v>
      </c>
      <c r="B18" s="20"/>
      <c r="C18" s="20"/>
      <c r="D18" s="20"/>
    </row>
  </sheetData>
  <mergeCells count="3">
    <mergeCell ref="A1:D1"/>
    <mergeCell ref="A2:D2"/>
    <mergeCell ref="A18:D1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66"/>
  </cols>
  <sheetData>
    <row r="1" customFormat="false" ht="17.35" hidden="false" customHeight="false" outlineLevel="0" collapsed="false">
      <c r="A1" s="1" t="s">
        <v>174</v>
      </c>
      <c r="B1" s="1"/>
      <c r="C1" s="1"/>
    </row>
    <row r="2" customFormat="false" ht="15" hidden="false" customHeight="false" outlineLevel="0" collapsed="false">
      <c r="A2" s="2" t="s">
        <v>175</v>
      </c>
      <c r="B2" s="2"/>
      <c r="C2" s="2"/>
    </row>
    <row r="4" customFormat="false" ht="27.75" hidden="false" customHeight="true" outlineLevel="0" collapsed="false">
      <c r="A4" s="3" t="s">
        <v>176</v>
      </c>
      <c r="B4" s="3" t="s">
        <v>20</v>
      </c>
      <c r="C4" s="3" t="s">
        <v>177</v>
      </c>
    </row>
    <row r="5" customFormat="false" ht="30" hidden="false" customHeight="true" outlineLevel="0" collapsed="false">
      <c r="A5" s="5" t="s">
        <v>178</v>
      </c>
      <c r="B5" s="21" t="n">
        <f aca="false">Costs!$C$28</f>
        <v>847.333333333333</v>
      </c>
      <c r="C5" s="9" t="s">
        <v>179</v>
      </c>
    </row>
    <row r="6" customFormat="false" ht="30" hidden="false" customHeight="true" outlineLevel="0" collapsed="false">
      <c r="A6" s="5" t="s">
        <v>180</v>
      </c>
      <c r="B6" s="25" t="n">
        <f aca="false">Costs!$C$28/UnitEconomics!$B$16</f>
        <v>39.7729904156794</v>
      </c>
      <c r="C6" s="9" t="s">
        <v>181</v>
      </c>
    </row>
    <row r="7" customFormat="false" ht="30" hidden="false" customHeight="true" outlineLevel="0" collapsed="false">
      <c r="A7" s="5" t="s">
        <v>182</v>
      </c>
      <c r="B7" s="25" t="n">
        <f aca="false">Costs!$C$28/UnitEconomics!$B$14</f>
        <v>126.525660487777</v>
      </c>
      <c r="C7" s="9" t="s">
        <v>183</v>
      </c>
    </row>
    <row r="8" customFormat="false" ht="30" hidden="false" customHeight="true" outlineLevel="0" collapsed="false">
      <c r="A8" s="5" t="s">
        <v>184</v>
      </c>
      <c r="B8" s="25" t="n">
        <f aca="false">(Costs!$C$28+5000)/UnitEconomics!$B$16</f>
        <v>274.468055811112</v>
      </c>
      <c r="C8" s="9" t="s">
        <v>185</v>
      </c>
    </row>
    <row r="9" customFormat="false" ht="30" hidden="false" customHeight="true" outlineLevel="0" collapsed="false">
      <c r="A9" s="5" t="s">
        <v>186</v>
      </c>
      <c r="B9" s="25" t="n">
        <f aca="false">(Costs!$C$28+5000)/UnitEconomics!$B$14</f>
        <v>873.136560297634</v>
      </c>
      <c r="C9" s="9" t="s">
        <v>187</v>
      </c>
    </row>
    <row r="10" customFormat="false" ht="30" hidden="false" customHeight="true" outlineLevel="0" collapsed="false">
      <c r="A10" s="5" t="s">
        <v>188</v>
      </c>
      <c r="B10" s="25" t="n">
        <f aca="false">Drivers!$B$14</f>
        <v>300</v>
      </c>
      <c r="C10" s="9" t="s">
        <v>189</v>
      </c>
    </row>
    <row r="11" customFormat="false" ht="30" hidden="false" customHeight="true" outlineLevel="0" collapsed="false">
      <c r="A11" s="5" t="s">
        <v>190</v>
      </c>
      <c r="B11" s="21" t="n">
        <f aca="false">Drivers!$B$14*(Inputs!$B$8*(1+Inputs!$B$10+Inputs!$B$11+Inputs!$B$12+Inputs!$B$13))</f>
        <v>15682.728</v>
      </c>
      <c r="C11" s="9" t="s">
        <v>191</v>
      </c>
    </row>
    <row r="12" customFormat="false" ht="30" hidden="false" customHeight="true" outlineLevel="0" collapsed="false">
      <c r="A12" s="4" t="s">
        <v>192</v>
      </c>
      <c r="B12" s="19" t="n">
        <f aca="false">Drivers!$B$14*(Inputs!$B$8*(1+Inputs!$B$10+Inputs!$B$11+Inputs!$B$12+Inputs!$B$13))*(Drivers!$B$6/30)</f>
        <v>7318.6064</v>
      </c>
      <c r="C12" s="9" t="s">
        <v>193</v>
      </c>
    </row>
    <row r="13" customFormat="false" ht="30" hidden="false" customHeight="true" outlineLevel="0" collapsed="false">
      <c r="A13" s="5" t="s">
        <v>194</v>
      </c>
      <c r="B13" s="21" t="n">
        <f aca="false">Drivers!$B$14*(Inputs!$B$8*(1+Inputs!$B$10+Inputs!$B$11+Inputs!$B$12+Inputs!$B$13))</f>
        <v>15682.728</v>
      </c>
      <c r="C13" s="9" t="s">
        <v>195</v>
      </c>
    </row>
  </sheetData>
  <mergeCells count="2">
    <mergeCell ref="A1:C1"/>
    <mergeCell ref="A2:C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13" min="2" style="0" width="11"/>
    <col collapsed="false" customWidth="true" hidden="false" outlineLevel="0" max="14" min="14" style="0" width="14"/>
  </cols>
  <sheetData>
    <row r="1" customFormat="false" ht="17.35" hidden="false" customHeight="false" outlineLevel="0" collapsed="false">
      <c r="A1" s="1" t="s">
        <v>196</v>
      </c>
      <c r="B1" s="1"/>
      <c r="C1" s="1"/>
      <c r="D1" s="1"/>
      <c r="E1" s="1"/>
      <c r="F1" s="1"/>
      <c r="G1" s="1"/>
      <c r="H1" s="1"/>
      <c r="I1" s="1"/>
      <c r="J1" s="1"/>
      <c r="K1" s="1"/>
      <c r="L1" s="1"/>
      <c r="M1" s="1"/>
      <c r="N1" s="1"/>
    </row>
    <row r="2" customFormat="false" ht="15" hidden="false" customHeight="false" outlineLevel="0" collapsed="false">
      <c r="A2" s="2" t="s">
        <v>197</v>
      </c>
      <c r="B2" s="2"/>
      <c r="C2" s="2"/>
      <c r="D2" s="2"/>
      <c r="E2" s="2"/>
      <c r="F2" s="2"/>
      <c r="G2" s="2"/>
      <c r="H2" s="2"/>
      <c r="I2" s="2"/>
      <c r="J2" s="2"/>
      <c r="K2" s="2"/>
      <c r="L2" s="2"/>
      <c r="M2" s="2"/>
      <c r="N2" s="2"/>
    </row>
    <row r="4" customFormat="false" ht="15" hidden="false" customHeight="false" outlineLevel="0" collapsed="false">
      <c r="A4" s="14" t="s">
        <v>198</v>
      </c>
      <c r="B4" s="14"/>
      <c r="C4" s="14"/>
      <c r="D4" s="14"/>
      <c r="E4" s="14"/>
      <c r="F4" s="14"/>
      <c r="G4" s="14"/>
      <c r="H4" s="14"/>
      <c r="I4" s="14"/>
      <c r="J4" s="14"/>
      <c r="K4" s="14"/>
      <c r="L4" s="14"/>
      <c r="M4" s="14"/>
      <c r="N4" s="14"/>
    </row>
    <row r="5" customFormat="false" ht="27.75" hidden="false" customHeight="true" outlineLevel="0" collapsed="false">
      <c r="A5" s="3" t="s">
        <v>199</v>
      </c>
      <c r="B5" s="3" t="s">
        <v>200</v>
      </c>
      <c r="C5" s="3" t="s">
        <v>201</v>
      </c>
      <c r="D5" s="3" t="s">
        <v>202</v>
      </c>
      <c r="E5" s="3" t="s">
        <v>203</v>
      </c>
      <c r="F5" s="3" t="s">
        <v>204</v>
      </c>
      <c r="G5" s="3" t="s">
        <v>205</v>
      </c>
      <c r="H5" s="3" t="s">
        <v>206</v>
      </c>
      <c r="I5" s="3" t="s">
        <v>207</v>
      </c>
      <c r="J5" s="3" t="s">
        <v>208</v>
      </c>
      <c r="K5" s="3" t="s">
        <v>209</v>
      </c>
      <c r="L5" s="3" t="s">
        <v>210</v>
      </c>
      <c r="M5" s="3" t="s">
        <v>211</v>
      </c>
      <c r="N5" s="3" t="s">
        <v>212</v>
      </c>
    </row>
    <row r="6" customFormat="false" ht="15" hidden="false" customHeight="false" outlineLevel="0" collapsed="false">
      <c r="A6" s="7" t="s">
        <v>213</v>
      </c>
      <c r="B6" s="26" t="n">
        <v>0</v>
      </c>
      <c r="C6" s="26" t="n">
        <v>0</v>
      </c>
      <c r="D6" s="26" t="n">
        <v>0</v>
      </c>
      <c r="E6" s="26" t="n">
        <v>40</v>
      </c>
      <c r="F6" s="26" t="n">
        <v>80</v>
      </c>
      <c r="G6" s="26" t="n">
        <v>130</v>
      </c>
      <c r="H6" s="26" t="n">
        <v>180</v>
      </c>
      <c r="I6" s="26" t="n">
        <v>230</v>
      </c>
      <c r="J6" s="26" t="n">
        <v>280</v>
      </c>
      <c r="K6" s="26" t="n">
        <v>320</v>
      </c>
      <c r="L6" s="26" t="n">
        <v>350</v>
      </c>
      <c r="M6" s="26" t="n">
        <v>380</v>
      </c>
      <c r="N6" s="27" t="n">
        <f aca="false">SUM(B6:M6)</f>
        <v>1990</v>
      </c>
    </row>
    <row r="7" customFormat="false" ht="15" hidden="false" customHeight="false" outlineLevel="0" collapsed="false">
      <c r="A7" s="7" t="s">
        <v>214</v>
      </c>
      <c r="B7" s="16" t="n">
        <f aca="false">B6*Inputs!$B$5</f>
        <v>0</v>
      </c>
      <c r="C7" s="16" t="n">
        <f aca="false">C6*Inputs!$B$5</f>
        <v>0</v>
      </c>
      <c r="D7" s="16" t="n">
        <f aca="false">D6*Inputs!$B$5</f>
        <v>0</v>
      </c>
      <c r="E7" s="16" t="n">
        <f aca="false">E6*Inputs!$B$5</f>
        <v>2943.2</v>
      </c>
      <c r="F7" s="16" t="n">
        <f aca="false">F6*Inputs!$B$5</f>
        <v>5886.4</v>
      </c>
      <c r="G7" s="16" t="n">
        <f aca="false">G6*Inputs!$B$5</f>
        <v>9565.4</v>
      </c>
      <c r="H7" s="16" t="n">
        <f aca="false">H6*Inputs!$B$5</f>
        <v>13244.4</v>
      </c>
      <c r="I7" s="16" t="n">
        <f aca="false">I6*Inputs!$B$5</f>
        <v>16923.4</v>
      </c>
      <c r="J7" s="16" t="n">
        <f aca="false">J6*Inputs!$B$5</f>
        <v>20602.4</v>
      </c>
      <c r="K7" s="16" t="n">
        <f aca="false">K6*Inputs!$B$5</f>
        <v>23545.6</v>
      </c>
      <c r="L7" s="16" t="n">
        <f aca="false">L6*Inputs!$B$5</f>
        <v>25753</v>
      </c>
      <c r="M7" s="16" t="n">
        <f aca="false">M6*Inputs!$B$5</f>
        <v>27960.4</v>
      </c>
      <c r="N7" s="28" t="n">
        <f aca="false">SUM(B7:M7)</f>
        <v>146424.2</v>
      </c>
    </row>
    <row r="8" customFormat="false" ht="15" hidden="false" customHeight="false" outlineLevel="0" collapsed="false">
      <c r="A8" s="7" t="s">
        <v>215</v>
      </c>
      <c r="B8" s="16" t="n">
        <f aca="false">B6*UnitEconomics!$B$16</f>
        <v>0</v>
      </c>
      <c r="C8" s="16" t="n">
        <f aca="false">C6*UnitEconomics!$B$16</f>
        <v>0</v>
      </c>
      <c r="D8" s="16" t="n">
        <f aca="false">D6*UnitEconomics!$B$16</f>
        <v>0</v>
      </c>
      <c r="E8" s="16" t="n">
        <f aca="false">E6*UnitEconomics!$B$16</f>
        <v>852.1696</v>
      </c>
      <c r="F8" s="16" t="n">
        <f aca="false">F6*UnitEconomics!$B$16</f>
        <v>1704.3392</v>
      </c>
      <c r="G8" s="16" t="n">
        <f aca="false">G6*UnitEconomics!$B$16</f>
        <v>2769.5512</v>
      </c>
      <c r="H8" s="16" t="n">
        <f aca="false">H6*UnitEconomics!$B$16</f>
        <v>3834.7632</v>
      </c>
      <c r="I8" s="16" t="n">
        <f aca="false">I6*UnitEconomics!$B$16</f>
        <v>4899.9752</v>
      </c>
      <c r="J8" s="16" t="n">
        <f aca="false">J6*UnitEconomics!$B$16</f>
        <v>5965.1872</v>
      </c>
      <c r="K8" s="16" t="n">
        <f aca="false">K6*UnitEconomics!$B$16</f>
        <v>6817.3568</v>
      </c>
      <c r="L8" s="16" t="n">
        <f aca="false">L6*UnitEconomics!$B$16</f>
        <v>7456.484</v>
      </c>
      <c r="M8" s="16" t="n">
        <f aca="false">M6*UnitEconomics!$B$16</f>
        <v>8095.6112</v>
      </c>
      <c r="N8" s="28" t="n">
        <f aca="false">SUM(B8:M8)</f>
        <v>42395.4376</v>
      </c>
    </row>
    <row r="9" customFormat="false" ht="15" hidden="false" customHeight="false" outlineLevel="0" collapsed="false">
      <c r="A9" s="7" t="s">
        <v>216</v>
      </c>
      <c r="B9" s="16" t="n">
        <f aca="false">-Costs!$C$28</f>
        <v>-847.333333333333</v>
      </c>
      <c r="C9" s="16" t="n">
        <f aca="false">-Costs!$C$28</f>
        <v>-847.333333333333</v>
      </c>
      <c r="D9" s="16" t="n">
        <f aca="false">-Costs!$C$28</f>
        <v>-847.333333333333</v>
      </c>
      <c r="E9" s="16" t="n">
        <f aca="false">-Costs!$C$28</f>
        <v>-847.333333333333</v>
      </c>
      <c r="F9" s="16" t="n">
        <f aca="false">-Costs!$C$28</f>
        <v>-847.333333333333</v>
      </c>
      <c r="G9" s="16" t="n">
        <f aca="false">-Costs!$C$28</f>
        <v>-847.333333333333</v>
      </c>
      <c r="H9" s="16" t="n">
        <f aca="false">-Costs!$C$28</f>
        <v>-847.333333333333</v>
      </c>
      <c r="I9" s="16" t="n">
        <f aca="false">-Costs!$C$28</f>
        <v>-847.333333333333</v>
      </c>
      <c r="J9" s="16" t="n">
        <f aca="false">-Costs!$C$28</f>
        <v>-847.333333333333</v>
      </c>
      <c r="K9" s="16" t="n">
        <f aca="false">-Costs!$C$28</f>
        <v>-847.333333333333</v>
      </c>
      <c r="L9" s="16" t="n">
        <f aca="false">-Costs!$C$28</f>
        <v>-847.333333333333</v>
      </c>
      <c r="M9" s="16" t="n">
        <f aca="false">-Costs!$C$28</f>
        <v>-847.333333333333</v>
      </c>
      <c r="N9" s="28" t="n">
        <f aca="false">SUM(B9:M9)</f>
        <v>-10168</v>
      </c>
    </row>
    <row r="10" customFormat="false" ht="15" hidden="false" customHeight="false" outlineLevel="0" collapsed="false">
      <c r="A10" s="7" t="s">
        <v>217</v>
      </c>
      <c r="B10" s="16" t="n">
        <f aca="false">-Drivers!$B$13</f>
        <v>-0</v>
      </c>
      <c r="C10" s="16" t="n">
        <f aca="false">-Drivers!$B$13</f>
        <v>-0</v>
      </c>
      <c r="D10" s="16" t="n">
        <f aca="false">-Drivers!$B$13</f>
        <v>-0</v>
      </c>
      <c r="E10" s="16" t="n">
        <f aca="false">-Drivers!$B$13</f>
        <v>-0</v>
      </c>
      <c r="F10" s="16" t="n">
        <f aca="false">-Drivers!$B$13</f>
        <v>-0</v>
      </c>
      <c r="G10" s="16" t="n">
        <f aca="false">-Drivers!$B$13</f>
        <v>-0</v>
      </c>
      <c r="H10" s="16" t="n">
        <f aca="false">-Drivers!$B$13</f>
        <v>-0</v>
      </c>
      <c r="I10" s="16" t="n">
        <f aca="false">-Drivers!$B$13</f>
        <v>-0</v>
      </c>
      <c r="J10" s="16" t="n">
        <f aca="false">-Drivers!$B$13</f>
        <v>-0</v>
      </c>
      <c r="K10" s="16" t="n">
        <f aca="false">-Drivers!$B$13</f>
        <v>-0</v>
      </c>
      <c r="L10" s="16" t="n">
        <f aca="false">-Drivers!$B$13</f>
        <v>-0</v>
      </c>
      <c r="M10" s="16" t="n">
        <f aca="false">-Drivers!$B$13</f>
        <v>-0</v>
      </c>
      <c r="N10" s="28" t="n">
        <f aca="false">SUM(B10:M10)</f>
        <v>0</v>
      </c>
    </row>
    <row r="11" customFormat="false" ht="15" hidden="false" customHeight="false" outlineLevel="0" collapsed="false">
      <c r="A11" s="8" t="s">
        <v>218</v>
      </c>
      <c r="B11" s="28" t="n">
        <f aca="false">B8+B9+B10</f>
        <v>-847.333333333333</v>
      </c>
      <c r="C11" s="28" t="n">
        <f aca="false">C8+C9+C10</f>
        <v>-847.333333333333</v>
      </c>
      <c r="D11" s="28" t="n">
        <f aca="false">D8+D9+D10</f>
        <v>-847.333333333333</v>
      </c>
      <c r="E11" s="28" t="n">
        <f aca="false">E8+E9+E10</f>
        <v>4.83626666666646</v>
      </c>
      <c r="F11" s="28" t="n">
        <f aca="false">F8+F9+F10</f>
        <v>857.005866666666</v>
      </c>
      <c r="G11" s="28" t="n">
        <f aca="false">G8+G9+G10</f>
        <v>1922.21786666667</v>
      </c>
      <c r="H11" s="28" t="n">
        <f aca="false">H8+H9+H10</f>
        <v>2987.42986666667</v>
      </c>
      <c r="I11" s="28" t="n">
        <f aca="false">I8+I9+I10</f>
        <v>4052.64186666667</v>
      </c>
      <c r="J11" s="28" t="n">
        <f aca="false">J8+J9+J10</f>
        <v>5117.85386666667</v>
      </c>
      <c r="K11" s="28" t="n">
        <f aca="false">K8+K9+K10</f>
        <v>5970.02346666667</v>
      </c>
      <c r="L11" s="28" t="n">
        <f aca="false">L8+L9+L10</f>
        <v>6609.15066666667</v>
      </c>
      <c r="M11" s="28" t="n">
        <f aca="false">M8+M9+M10</f>
        <v>7248.27786666667</v>
      </c>
    </row>
    <row r="12" customFormat="false" ht="15" hidden="false" customHeight="false" outlineLevel="0" collapsed="false">
      <c r="A12" s="14" t="s">
        <v>219</v>
      </c>
      <c r="B12" s="17" t="n">
        <f aca="false">B11-Costs!$C$14</f>
        <v>-11638.1333333333</v>
      </c>
      <c r="C12" s="17" t="n">
        <f aca="false">B12+C11</f>
        <v>-12485.4666666667</v>
      </c>
      <c r="D12" s="17" t="n">
        <f aca="false">C12+D11</f>
        <v>-13332.8</v>
      </c>
      <c r="E12" s="17" t="n">
        <f aca="false">D12+E11</f>
        <v>-13327.9637333333</v>
      </c>
      <c r="F12" s="17" t="n">
        <f aca="false">E12+F11</f>
        <v>-12470.9578666667</v>
      </c>
      <c r="G12" s="17" t="n">
        <f aca="false">F12+G11</f>
        <v>-10548.74</v>
      </c>
      <c r="H12" s="17" t="n">
        <f aca="false">G12+H11</f>
        <v>-7561.31013333334</v>
      </c>
      <c r="I12" s="17" t="n">
        <f aca="false">H12+I11</f>
        <v>-3508.66826666667</v>
      </c>
      <c r="J12" s="17" t="n">
        <f aca="false">I12+J11</f>
        <v>1609.1856</v>
      </c>
      <c r="K12" s="17" t="n">
        <f aca="false">J12+K11</f>
        <v>7579.20906666666</v>
      </c>
      <c r="L12" s="17" t="n">
        <f aca="false">K12+L11</f>
        <v>14188.3597333333</v>
      </c>
      <c r="M12" s="17" t="n">
        <f aca="false">L12+M11</f>
        <v>21436.6376</v>
      </c>
      <c r="N12" s="17" t="n">
        <f aca="false">MIN(B12:M12)</f>
        <v>-13332.8</v>
      </c>
    </row>
    <row r="13" customFormat="false" ht="15" hidden="false" customHeight="true" outlineLevel="0" collapsed="false">
      <c r="A13" s="9" t="s">
        <v>220</v>
      </c>
      <c r="B13" s="9"/>
      <c r="C13" s="9"/>
      <c r="D13" s="9"/>
      <c r="E13" s="9"/>
      <c r="F13" s="9"/>
      <c r="G13" s="9"/>
      <c r="H13" s="9"/>
      <c r="I13" s="9"/>
      <c r="J13" s="9"/>
      <c r="K13" s="9"/>
      <c r="L13" s="9"/>
      <c r="M13" s="9"/>
      <c r="N13" s="9"/>
    </row>
    <row r="15" customFormat="false" ht="15" hidden="false" customHeight="false" outlineLevel="0" collapsed="false">
      <c r="A15" s="14" t="s">
        <v>221</v>
      </c>
      <c r="B15" s="14"/>
      <c r="C15" s="14"/>
      <c r="D15" s="14"/>
      <c r="E15" s="14"/>
      <c r="F15" s="14"/>
      <c r="G15" s="14"/>
      <c r="H15" s="14"/>
      <c r="I15" s="14"/>
      <c r="J15" s="14"/>
      <c r="K15" s="14"/>
      <c r="L15" s="14"/>
      <c r="M15" s="14"/>
      <c r="N15" s="14"/>
    </row>
    <row r="16" customFormat="false" ht="27.75" hidden="false" customHeight="true" outlineLevel="0" collapsed="false">
      <c r="A16" s="3" t="s">
        <v>199</v>
      </c>
      <c r="B16" s="3" t="s">
        <v>200</v>
      </c>
      <c r="C16" s="3" t="s">
        <v>201</v>
      </c>
      <c r="D16" s="3" t="s">
        <v>202</v>
      </c>
      <c r="E16" s="3" t="s">
        <v>203</v>
      </c>
      <c r="F16" s="3" t="s">
        <v>204</v>
      </c>
      <c r="G16" s="3" t="s">
        <v>205</v>
      </c>
      <c r="H16" s="3" t="s">
        <v>206</v>
      </c>
      <c r="I16" s="3" t="s">
        <v>207</v>
      </c>
      <c r="J16" s="3" t="s">
        <v>208</v>
      </c>
      <c r="K16" s="3" t="s">
        <v>209</v>
      </c>
      <c r="L16" s="3" t="s">
        <v>210</v>
      </c>
      <c r="M16" s="3" t="s">
        <v>211</v>
      </c>
      <c r="N16" s="3" t="s">
        <v>212</v>
      </c>
    </row>
    <row r="17" customFormat="false" ht="15" hidden="false" customHeight="false" outlineLevel="0" collapsed="false">
      <c r="A17" s="7" t="s">
        <v>213</v>
      </c>
      <c r="B17" s="26" t="n">
        <v>0</v>
      </c>
      <c r="C17" s="26" t="n">
        <v>0</v>
      </c>
      <c r="D17" s="26" t="n">
        <v>0</v>
      </c>
      <c r="E17" s="26" t="n">
        <v>0</v>
      </c>
      <c r="F17" s="26" t="n">
        <v>0</v>
      </c>
      <c r="G17" s="26" t="n">
        <v>0</v>
      </c>
      <c r="H17" s="26" t="n">
        <v>30</v>
      </c>
      <c r="I17" s="26" t="n">
        <v>70</v>
      </c>
      <c r="J17" s="26" t="n">
        <v>110</v>
      </c>
      <c r="K17" s="26" t="n">
        <v>150</v>
      </c>
      <c r="L17" s="26" t="n">
        <v>190</v>
      </c>
      <c r="M17" s="26" t="n">
        <v>230</v>
      </c>
      <c r="N17" s="27" t="n">
        <f aca="false">SUM(B17:M17)</f>
        <v>780</v>
      </c>
    </row>
    <row r="18" customFormat="false" ht="15" hidden="false" customHeight="false" outlineLevel="0" collapsed="false">
      <c r="A18" s="7" t="s">
        <v>214</v>
      </c>
      <c r="B18" s="16" t="n">
        <f aca="false">B17*Inputs!$B$5</f>
        <v>0</v>
      </c>
      <c r="C18" s="16" t="n">
        <f aca="false">C17*Inputs!$B$5</f>
        <v>0</v>
      </c>
      <c r="D18" s="16" t="n">
        <f aca="false">D17*Inputs!$B$5</f>
        <v>0</v>
      </c>
      <c r="E18" s="16" t="n">
        <f aca="false">E17*Inputs!$B$5</f>
        <v>0</v>
      </c>
      <c r="F18" s="16" t="n">
        <f aca="false">F17*Inputs!$B$5</f>
        <v>0</v>
      </c>
      <c r="G18" s="16" t="n">
        <f aca="false">G17*Inputs!$B$5</f>
        <v>0</v>
      </c>
      <c r="H18" s="16" t="n">
        <f aca="false">H17*Inputs!$B$5</f>
        <v>2207.4</v>
      </c>
      <c r="I18" s="16" t="n">
        <f aca="false">I17*Inputs!$B$5</f>
        <v>5150.6</v>
      </c>
      <c r="J18" s="16" t="n">
        <f aca="false">J17*Inputs!$B$5</f>
        <v>8093.8</v>
      </c>
      <c r="K18" s="16" t="n">
        <f aca="false">K17*Inputs!$B$5</f>
        <v>11037</v>
      </c>
      <c r="L18" s="16" t="n">
        <f aca="false">L17*Inputs!$B$5</f>
        <v>13980.2</v>
      </c>
      <c r="M18" s="16" t="n">
        <f aca="false">M17*Inputs!$B$5</f>
        <v>16923.4</v>
      </c>
      <c r="N18" s="28" t="n">
        <f aca="false">SUM(B18:M18)</f>
        <v>57392.4</v>
      </c>
    </row>
    <row r="19" customFormat="false" ht="15" hidden="false" customHeight="false" outlineLevel="0" collapsed="false">
      <c r="A19" s="7" t="s">
        <v>215</v>
      </c>
      <c r="B19" s="16" t="n">
        <f aca="false">B17*UnitEconomics!$B$16</f>
        <v>0</v>
      </c>
      <c r="C19" s="16" t="n">
        <f aca="false">C17*UnitEconomics!$B$16</f>
        <v>0</v>
      </c>
      <c r="D19" s="16" t="n">
        <f aca="false">D17*UnitEconomics!$B$16</f>
        <v>0</v>
      </c>
      <c r="E19" s="16" t="n">
        <f aca="false">E17*UnitEconomics!$B$16</f>
        <v>0</v>
      </c>
      <c r="F19" s="16" t="n">
        <f aca="false">F17*UnitEconomics!$B$16</f>
        <v>0</v>
      </c>
      <c r="G19" s="16" t="n">
        <f aca="false">G17*UnitEconomics!$B$16</f>
        <v>0</v>
      </c>
      <c r="H19" s="16" t="n">
        <f aca="false">H17*UnitEconomics!$B$16</f>
        <v>639.1272</v>
      </c>
      <c r="I19" s="16" t="n">
        <f aca="false">I17*UnitEconomics!$B$16</f>
        <v>1491.2968</v>
      </c>
      <c r="J19" s="16" t="n">
        <f aca="false">J17*UnitEconomics!$B$16</f>
        <v>2343.4664</v>
      </c>
      <c r="K19" s="16" t="n">
        <f aca="false">K17*UnitEconomics!$B$16</f>
        <v>3195.636</v>
      </c>
      <c r="L19" s="16" t="n">
        <f aca="false">L17*UnitEconomics!$B$16</f>
        <v>4047.8056</v>
      </c>
      <c r="M19" s="16" t="n">
        <f aca="false">M17*UnitEconomics!$B$16</f>
        <v>4899.9752</v>
      </c>
      <c r="N19" s="28" t="n">
        <f aca="false">SUM(B19:M19)</f>
        <v>16617.3072</v>
      </c>
    </row>
    <row r="20" customFormat="false" ht="15" hidden="false" customHeight="false" outlineLevel="0" collapsed="false">
      <c r="A20" s="7" t="s">
        <v>216</v>
      </c>
      <c r="B20" s="16" t="n">
        <f aca="false">-Costs!$C$28</f>
        <v>-847.333333333333</v>
      </c>
      <c r="C20" s="16" t="n">
        <f aca="false">-Costs!$C$28</f>
        <v>-847.333333333333</v>
      </c>
      <c r="D20" s="16" t="n">
        <f aca="false">-Costs!$C$28</f>
        <v>-847.333333333333</v>
      </c>
      <c r="E20" s="16" t="n">
        <f aca="false">-Costs!$C$28</f>
        <v>-847.333333333333</v>
      </c>
      <c r="F20" s="16" t="n">
        <f aca="false">-Costs!$C$28</f>
        <v>-847.333333333333</v>
      </c>
      <c r="G20" s="16" t="n">
        <f aca="false">-Costs!$C$28</f>
        <v>-847.333333333333</v>
      </c>
      <c r="H20" s="16" t="n">
        <f aca="false">-Costs!$C$28</f>
        <v>-847.333333333333</v>
      </c>
      <c r="I20" s="16" t="n">
        <f aca="false">-Costs!$C$28</f>
        <v>-847.333333333333</v>
      </c>
      <c r="J20" s="16" t="n">
        <f aca="false">-Costs!$C$28</f>
        <v>-847.333333333333</v>
      </c>
      <c r="K20" s="16" t="n">
        <f aca="false">-Costs!$C$28</f>
        <v>-847.333333333333</v>
      </c>
      <c r="L20" s="16" t="n">
        <f aca="false">-Costs!$C$28</f>
        <v>-847.333333333333</v>
      </c>
      <c r="M20" s="16" t="n">
        <f aca="false">-Costs!$C$28</f>
        <v>-847.333333333333</v>
      </c>
      <c r="N20" s="28" t="n">
        <f aca="false">SUM(B20:M20)</f>
        <v>-10168</v>
      </c>
    </row>
    <row r="21" customFormat="false" ht="15" hidden="false" customHeight="false" outlineLevel="0" collapsed="false">
      <c r="A21" s="7" t="s">
        <v>217</v>
      </c>
      <c r="B21" s="16" t="n">
        <f aca="false">-Drivers!$B$13</f>
        <v>-0</v>
      </c>
      <c r="C21" s="16" t="n">
        <f aca="false">-Drivers!$B$13</f>
        <v>-0</v>
      </c>
      <c r="D21" s="16" t="n">
        <f aca="false">-Drivers!$B$13</f>
        <v>-0</v>
      </c>
      <c r="E21" s="16" t="n">
        <f aca="false">-Drivers!$B$13</f>
        <v>-0</v>
      </c>
      <c r="F21" s="16" t="n">
        <f aca="false">-Drivers!$B$13</f>
        <v>-0</v>
      </c>
      <c r="G21" s="16" t="n">
        <f aca="false">-Drivers!$B$13</f>
        <v>-0</v>
      </c>
      <c r="H21" s="16" t="n">
        <f aca="false">-Drivers!$B$13</f>
        <v>-0</v>
      </c>
      <c r="I21" s="16" t="n">
        <f aca="false">-Drivers!$B$13</f>
        <v>-0</v>
      </c>
      <c r="J21" s="16" t="n">
        <f aca="false">-Drivers!$B$13</f>
        <v>-0</v>
      </c>
      <c r="K21" s="16" t="n">
        <f aca="false">-Drivers!$B$13</f>
        <v>-0</v>
      </c>
      <c r="L21" s="16" t="n">
        <f aca="false">-Drivers!$B$13</f>
        <v>-0</v>
      </c>
      <c r="M21" s="16" t="n">
        <f aca="false">-Drivers!$B$13</f>
        <v>-0</v>
      </c>
      <c r="N21" s="28" t="n">
        <f aca="false">SUM(B21:M21)</f>
        <v>0</v>
      </c>
    </row>
    <row r="22" customFormat="false" ht="15" hidden="false" customHeight="false" outlineLevel="0" collapsed="false">
      <c r="A22" s="8" t="s">
        <v>218</v>
      </c>
      <c r="B22" s="28" t="n">
        <f aca="false">B19+B20+B21</f>
        <v>-847.333333333333</v>
      </c>
      <c r="C22" s="28" t="n">
        <f aca="false">C19+C20+C21</f>
        <v>-847.333333333333</v>
      </c>
      <c r="D22" s="28" t="n">
        <f aca="false">D19+D20+D21</f>
        <v>-847.333333333333</v>
      </c>
      <c r="E22" s="28" t="n">
        <f aca="false">E19+E20+E21</f>
        <v>-847.333333333333</v>
      </c>
      <c r="F22" s="28" t="n">
        <f aca="false">F19+F20+F21</f>
        <v>-847.333333333333</v>
      </c>
      <c r="G22" s="28" t="n">
        <f aca="false">G19+G20+G21</f>
        <v>-847.333333333333</v>
      </c>
      <c r="H22" s="28" t="n">
        <f aca="false">H19+H20+H21</f>
        <v>-208.206133333333</v>
      </c>
      <c r="I22" s="28" t="n">
        <f aca="false">I19+I20+I21</f>
        <v>643.963466666667</v>
      </c>
      <c r="J22" s="28" t="n">
        <f aca="false">J19+J20+J21</f>
        <v>1496.13306666667</v>
      </c>
      <c r="K22" s="28" t="n">
        <f aca="false">K19+K20+K21</f>
        <v>2348.30266666667</v>
      </c>
      <c r="L22" s="28" t="n">
        <f aca="false">L19+L20+L21</f>
        <v>3200.47226666667</v>
      </c>
      <c r="M22" s="28" t="n">
        <f aca="false">M19+M20+M21</f>
        <v>4052.64186666667</v>
      </c>
    </row>
    <row r="23" customFormat="false" ht="15" hidden="false" customHeight="false" outlineLevel="0" collapsed="false">
      <c r="A23" s="14" t="s">
        <v>219</v>
      </c>
      <c r="B23" s="17" t="n">
        <f aca="false">B22-Costs!$C$14</f>
        <v>-11638.1333333333</v>
      </c>
      <c r="C23" s="17" t="n">
        <f aca="false">B23+C22</f>
        <v>-12485.4666666667</v>
      </c>
      <c r="D23" s="17" t="n">
        <f aca="false">C23+D22</f>
        <v>-13332.8</v>
      </c>
      <c r="E23" s="17" t="n">
        <f aca="false">D23+E22</f>
        <v>-14180.1333333333</v>
      </c>
      <c r="F23" s="17" t="n">
        <f aca="false">E23+F22</f>
        <v>-15027.4666666667</v>
      </c>
      <c r="G23" s="17" t="n">
        <f aca="false">F23+G22</f>
        <v>-15874.8</v>
      </c>
      <c r="H23" s="17" t="n">
        <f aca="false">G23+H22</f>
        <v>-16083.0061333333</v>
      </c>
      <c r="I23" s="17" t="n">
        <f aca="false">H23+I22</f>
        <v>-15439.0426666667</v>
      </c>
      <c r="J23" s="17" t="n">
        <f aca="false">I23+J22</f>
        <v>-13942.9096</v>
      </c>
      <c r="K23" s="17" t="n">
        <f aca="false">J23+K22</f>
        <v>-11594.6069333333</v>
      </c>
      <c r="L23" s="17" t="n">
        <f aca="false">K23+L22</f>
        <v>-8394.13466666667</v>
      </c>
      <c r="M23" s="17" t="n">
        <f aca="false">L23+M22</f>
        <v>-4341.49280000001</v>
      </c>
      <c r="N23" s="17" t="n">
        <f aca="false">MIN(B23:M23)</f>
        <v>-16083.0061333333</v>
      </c>
    </row>
    <row r="24" customFormat="false" ht="15" hidden="false" customHeight="true" outlineLevel="0" collapsed="false">
      <c r="A24" s="9" t="s">
        <v>220</v>
      </c>
      <c r="B24" s="9"/>
      <c r="C24" s="9"/>
      <c r="D24" s="9"/>
      <c r="E24" s="9"/>
      <c r="F24" s="9"/>
      <c r="G24" s="9"/>
      <c r="H24" s="9"/>
      <c r="I24" s="9"/>
      <c r="J24" s="9"/>
      <c r="K24" s="9"/>
      <c r="L24" s="9"/>
      <c r="M24" s="9"/>
      <c r="N24" s="9"/>
    </row>
    <row r="26" customFormat="false" ht="15" hidden="false" customHeight="false" outlineLevel="0" collapsed="false">
      <c r="A26" s="14" t="s">
        <v>222</v>
      </c>
      <c r="B26" s="14"/>
      <c r="C26" s="14"/>
      <c r="D26" s="14"/>
      <c r="E26" s="14"/>
      <c r="F26" s="14"/>
      <c r="G26" s="14"/>
      <c r="H26" s="14"/>
      <c r="I26" s="14"/>
      <c r="J26" s="14"/>
      <c r="K26" s="14"/>
      <c r="L26" s="14"/>
      <c r="M26" s="14"/>
      <c r="N26" s="14"/>
    </row>
    <row r="27" customFormat="false" ht="27.75" hidden="false" customHeight="true" outlineLevel="0" collapsed="false">
      <c r="A27" s="3" t="s">
        <v>199</v>
      </c>
      <c r="B27" s="3" t="s">
        <v>200</v>
      </c>
      <c r="C27" s="3" t="s">
        <v>201</v>
      </c>
      <c r="D27" s="3" t="s">
        <v>202</v>
      </c>
      <c r="E27" s="3" t="s">
        <v>203</v>
      </c>
      <c r="F27" s="3" t="s">
        <v>204</v>
      </c>
      <c r="G27" s="3" t="s">
        <v>205</v>
      </c>
      <c r="H27" s="3" t="s">
        <v>206</v>
      </c>
      <c r="I27" s="3" t="s">
        <v>207</v>
      </c>
      <c r="J27" s="3" t="s">
        <v>208</v>
      </c>
      <c r="K27" s="3" t="s">
        <v>209</v>
      </c>
      <c r="L27" s="3" t="s">
        <v>210</v>
      </c>
      <c r="M27" s="3" t="s">
        <v>211</v>
      </c>
      <c r="N27" s="3" t="s">
        <v>212</v>
      </c>
    </row>
    <row r="28" customFormat="false" ht="15" hidden="false" customHeight="false" outlineLevel="0" collapsed="false">
      <c r="A28" s="7" t="s">
        <v>213</v>
      </c>
      <c r="B28" s="26" t="n">
        <v>0</v>
      </c>
      <c r="C28" s="26" t="n">
        <v>0</v>
      </c>
      <c r="D28" s="26" t="n">
        <v>0</v>
      </c>
      <c r="E28" s="26" t="n">
        <v>40</v>
      </c>
      <c r="F28" s="26" t="n">
        <v>80</v>
      </c>
      <c r="G28" s="26" t="n">
        <v>130</v>
      </c>
      <c r="H28" s="26" t="n">
        <v>180</v>
      </c>
      <c r="I28" s="26" t="n">
        <v>230</v>
      </c>
      <c r="J28" s="26" t="n">
        <v>280</v>
      </c>
      <c r="K28" s="26" t="n">
        <v>320</v>
      </c>
      <c r="L28" s="26" t="n">
        <v>350</v>
      </c>
      <c r="M28" s="26" t="n">
        <v>380</v>
      </c>
      <c r="N28" s="27" t="n">
        <f aca="false">SUM(B28:M28)</f>
        <v>1990</v>
      </c>
    </row>
    <row r="29" customFormat="false" ht="15" hidden="false" customHeight="false" outlineLevel="0" collapsed="false">
      <c r="A29" s="7" t="s">
        <v>214</v>
      </c>
      <c r="B29" s="16" t="n">
        <f aca="false">B28*Inputs!$B$5</f>
        <v>0</v>
      </c>
      <c r="C29" s="16" t="n">
        <f aca="false">C28*Inputs!$B$5</f>
        <v>0</v>
      </c>
      <c r="D29" s="16" t="n">
        <f aca="false">D28*Inputs!$B$5</f>
        <v>0</v>
      </c>
      <c r="E29" s="16" t="n">
        <f aca="false">E28*Inputs!$B$5</f>
        <v>2943.2</v>
      </c>
      <c r="F29" s="16" t="n">
        <f aca="false">F28*Inputs!$B$5</f>
        <v>5886.4</v>
      </c>
      <c r="G29" s="16" t="n">
        <f aca="false">G28*Inputs!$B$5</f>
        <v>9565.4</v>
      </c>
      <c r="H29" s="16" t="n">
        <f aca="false">H28*Inputs!$B$5</f>
        <v>13244.4</v>
      </c>
      <c r="I29" s="16" t="n">
        <f aca="false">I28*Inputs!$B$5</f>
        <v>16923.4</v>
      </c>
      <c r="J29" s="16" t="n">
        <f aca="false">J28*Inputs!$B$5</f>
        <v>20602.4</v>
      </c>
      <c r="K29" s="16" t="n">
        <f aca="false">K28*Inputs!$B$5</f>
        <v>23545.6</v>
      </c>
      <c r="L29" s="16" t="n">
        <f aca="false">L28*Inputs!$B$5</f>
        <v>25753</v>
      </c>
      <c r="M29" s="16" t="n">
        <f aca="false">M28*Inputs!$B$5</f>
        <v>27960.4</v>
      </c>
      <c r="N29" s="28" t="n">
        <f aca="false">SUM(B29:M29)</f>
        <v>146424.2</v>
      </c>
    </row>
    <row r="30" customFormat="false" ht="15" hidden="false" customHeight="false" outlineLevel="0" collapsed="false">
      <c r="A30" s="7" t="s">
        <v>215</v>
      </c>
      <c r="B30" s="16" t="n">
        <f aca="false">B28*UnitEconomics!$B$14</f>
        <v>0</v>
      </c>
      <c r="C30" s="16" t="n">
        <f aca="false">C28*UnitEconomics!$B$14</f>
        <v>0</v>
      </c>
      <c r="D30" s="16" t="n">
        <f aca="false">D28*UnitEconomics!$B$14</f>
        <v>0</v>
      </c>
      <c r="E30" s="16" t="n">
        <f aca="false">E28*UnitEconomics!$B$14</f>
        <v>267.87715</v>
      </c>
      <c r="F30" s="16" t="n">
        <f aca="false">F28*UnitEconomics!$B$14</f>
        <v>535.7543</v>
      </c>
      <c r="G30" s="16" t="n">
        <f aca="false">G28*UnitEconomics!$B$14</f>
        <v>870.6007375</v>
      </c>
      <c r="H30" s="16" t="n">
        <f aca="false">H28*UnitEconomics!$B$14</f>
        <v>1205.447175</v>
      </c>
      <c r="I30" s="16" t="n">
        <f aca="false">I28*UnitEconomics!$B$14</f>
        <v>1540.2936125</v>
      </c>
      <c r="J30" s="16" t="n">
        <f aca="false">J28*UnitEconomics!$B$14</f>
        <v>1875.14005</v>
      </c>
      <c r="K30" s="16" t="n">
        <f aca="false">K28*UnitEconomics!$B$14</f>
        <v>2143.0172</v>
      </c>
      <c r="L30" s="16" t="n">
        <f aca="false">L28*UnitEconomics!$B$14</f>
        <v>2343.9250625</v>
      </c>
      <c r="M30" s="16" t="n">
        <f aca="false">M28*UnitEconomics!$B$14</f>
        <v>2544.832925</v>
      </c>
      <c r="N30" s="28" t="n">
        <f aca="false">SUM(B30:M30)</f>
        <v>13326.8882125</v>
      </c>
    </row>
    <row r="31" customFormat="false" ht="15" hidden="false" customHeight="false" outlineLevel="0" collapsed="false">
      <c r="A31" s="7" t="s">
        <v>216</v>
      </c>
      <c r="B31" s="16" t="n">
        <f aca="false">-Costs!$C$28</f>
        <v>-847.333333333333</v>
      </c>
      <c r="C31" s="16" t="n">
        <f aca="false">-Costs!$C$28</f>
        <v>-847.333333333333</v>
      </c>
      <c r="D31" s="16" t="n">
        <f aca="false">-Costs!$C$28</f>
        <v>-847.333333333333</v>
      </c>
      <c r="E31" s="16" t="n">
        <f aca="false">-Costs!$C$28</f>
        <v>-847.333333333333</v>
      </c>
      <c r="F31" s="16" t="n">
        <f aca="false">-Costs!$C$28</f>
        <v>-847.333333333333</v>
      </c>
      <c r="G31" s="16" t="n">
        <f aca="false">-Costs!$C$28</f>
        <v>-847.333333333333</v>
      </c>
      <c r="H31" s="16" t="n">
        <f aca="false">-Costs!$C$28</f>
        <v>-847.333333333333</v>
      </c>
      <c r="I31" s="16" t="n">
        <f aca="false">-Costs!$C$28</f>
        <v>-847.333333333333</v>
      </c>
      <c r="J31" s="16" t="n">
        <f aca="false">-Costs!$C$28</f>
        <v>-847.333333333333</v>
      </c>
      <c r="K31" s="16" t="n">
        <f aca="false">-Costs!$C$28</f>
        <v>-847.333333333333</v>
      </c>
      <c r="L31" s="16" t="n">
        <f aca="false">-Costs!$C$28</f>
        <v>-847.333333333333</v>
      </c>
      <c r="M31" s="16" t="n">
        <f aca="false">-Costs!$C$28</f>
        <v>-847.333333333333</v>
      </c>
      <c r="N31" s="28" t="n">
        <f aca="false">SUM(B31:M31)</f>
        <v>-10168</v>
      </c>
    </row>
    <row r="32" customFormat="false" ht="15" hidden="false" customHeight="false" outlineLevel="0" collapsed="false">
      <c r="A32" s="7" t="s">
        <v>217</v>
      </c>
      <c r="B32" s="16" t="n">
        <f aca="false">-Drivers!$B$13</f>
        <v>-0</v>
      </c>
      <c r="C32" s="16" t="n">
        <f aca="false">-Drivers!$B$13</f>
        <v>-0</v>
      </c>
      <c r="D32" s="16" t="n">
        <f aca="false">-Drivers!$B$13</f>
        <v>-0</v>
      </c>
      <c r="E32" s="16" t="n">
        <f aca="false">-Drivers!$B$13</f>
        <v>-0</v>
      </c>
      <c r="F32" s="16" t="n">
        <f aca="false">-Drivers!$B$13</f>
        <v>-0</v>
      </c>
      <c r="G32" s="16" t="n">
        <f aca="false">-Drivers!$B$13</f>
        <v>-0</v>
      </c>
      <c r="H32" s="16" t="n">
        <f aca="false">-Drivers!$B$13</f>
        <v>-0</v>
      </c>
      <c r="I32" s="16" t="n">
        <f aca="false">-Drivers!$B$13</f>
        <v>-0</v>
      </c>
      <c r="J32" s="16" t="n">
        <f aca="false">-Drivers!$B$13</f>
        <v>-0</v>
      </c>
      <c r="K32" s="16" t="n">
        <f aca="false">-Drivers!$B$13</f>
        <v>-0</v>
      </c>
      <c r="L32" s="16" t="n">
        <f aca="false">-Drivers!$B$13</f>
        <v>-0</v>
      </c>
      <c r="M32" s="16" t="n">
        <f aca="false">-Drivers!$B$13</f>
        <v>-0</v>
      </c>
      <c r="N32" s="28" t="n">
        <f aca="false">SUM(B32:M32)</f>
        <v>0</v>
      </c>
    </row>
    <row r="33" customFormat="false" ht="15" hidden="false" customHeight="false" outlineLevel="0" collapsed="false">
      <c r="A33" s="8" t="s">
        <v>218</v>
      </c>
      <c r="B33" s="28" t="n">
        <f aca="false">B30+B31+B32</f>
        <v>-847.333333333333</v>
      </c>
      <c r="C33" s="28" t="n">
        <f aca="false">C30+C31+C32</f>
        <v>-847.333333333333</v>
      </c>
      <c r="D33" s="28" t="n">
        <f aca="false">D30+D31+D32</f>
        <v>-847.333333333333</v>
      </c>
      <c r="E33" s="28" t="n">
        <f aca="false">E30+E31+E32</f>
        <v>-579.456183333334</v>
      </c>
      <c r="F33" s="28" t="n">
        <f aca="false">F30+F31+F32</f>
        <v>-311.579033333334</v>
      </c>
      <c r="G33" s="28" t="n">
        <f aca="false">G30+G31+G32</f>
        <v>23.2674041666661</v>
      </c>
      <c r="H33" s="28" t="n">
        <f aca="false">H30+H31+H32</f>
        <v>358.113841666666</v>
      </c>
      <c r="I33" s="28" t="n">
        <f aca="false">I30+I31+I32</f>
        <v>692.960279166666</v>
      </c>
      <c r="J33" s="28" t="n">
        <f aca="false">J30+J31+J32</f>
        <v>1027.80671666667</v>
      </c>
      <c r="K33" s="28" t="n">
        <f aca="false">K30+K31+K32</f>
        <v>1295.68386666667</v>
      </c>
      <c r="L33" s="28" t="n">
        <f aca="false">L30+L31+L32</f>
        <v>1496.59172916667</v>
      </c>
      <c r="M33" s="28" t="n">
        <f aca="false">M30+M31+M32</f>
        <v>1697.49959166666</v>
      </c>
    </row>
    <row r="34" customFormat="false" ht="15" hidden="false" customHeight="false" outlineLevel="0" collapsed="false">
      <c r="A34" s="14" t="s">
        <v>219</v>
      </c>
      <c r="B34" s="17" t="n">
        <f aca="false">B33-Costs!$C$14</f>
        <v>-11638.1333333333</v>
      </c>
      <c r="C34" s="17" t="n">
        <f aca="false">B34+C33</f>
        <v>-12485.4666666667</v>
      </c>
      <c r="D34" s="17" t="n">
        <f aca="false">C34+D33</f>
        <v>-13332.8</v>
      </c>
      <c r="E34" s="17" t="n">
        <f aca="false">D34+E33</f>
        <v>-13912.2561833333</v>
      </c>
      <c r="F34" s="17" t="n">
        <f aca="false">E34+F33</f>
        <v>-14223.8352166667</v>
      </c>
      <c r="G34" s="17" t="n">
        <f aca="false">F34+G33</f>
        <v>-14200.5678125</v>
      </c>
      <c r="H34" s="17" t="n">
        <f aca="false">G34+H33</f>
        <v>-13842.4539708333</v>
      </c>
      <c r="I34" s="17" t="n">
        <f aca="false">H34+I33</f>
        <v>-13149.4936916667</v>
      </c>
      <c r="J34" s="17" t="n">
        <f aca="false">I34+J33</f>
        <v>-12121.686975</v>
      </c>
      <c r="K34" s="17" t="n">
        <f aca="false">J34+K33</f>
        <v>-10826.0031083333</v>
      </c>
      <c r="L34" s="17" t="n">
        <f aca="false">K34+L33</f>
        <v>-9329.41137916667</v>
      </c>
      <c r="M34" s="17" t="n">
        <f aca="false">L34+M33</f>
        <v>-7631.91178750001</v>
      </c>
      <c r="N34" s="17" t="n">
        <f aca="false">MIN(B34:M34)</f>
        <v>-14223.8352166667</v>
      </c>
    </row>
    <row r="35" customFormat="false" ht="15" hidden="false" customHeight="true" outlineLevel="0" collapsed="false">
      <c r="A35" s="9" t="s">
        <v>220</v>
      </c>
      <c r="B35" s="9"/>
      <c r="C35" s="9"/>
      <c r="D35" s="9"/>
      <c r="E35" s="9"/>
      <c r="F35" s="9"/>
      <c r="G35" s="9"/>
      <c r="H35" s="9"/>
      <c r="I35" s="9"/>
      <c r="J35" s="9"/>
      <c r="K35" s="9"/>
      <c r="L35" s="9"/>
      <c r="M35" s="9"/>
      <c r="N35" s="9"/>
    </row>
    <row r="37" customFormat="false" ht="15" hidden="false" customHeight="false" outlineLevel="0" collapsed="false">
      <c r="A37" s="14" t="s">
        <v>223</v>
      </c>
      <c r="B37" s="14"/>
      <c r="C37" s="14"/>
      <c r="D37" s="14"/>
      <c r="E37" s="14"/>
      <c r="F37" s="14"/>
      <c r="G37" s="14"/>
      <c r="H37" s="14"/>
      <c r="I37" s="14"/>
      <c r="J37" s="14"/>
      <c r="K37" s="14"/>
      <c r="L37" s="14"/>
      <c r="M37" s="14"/>
      <c r="N37" s="14"/>
    </row>
    <row r="38" customFormat="false" ht="27.75" hidden="false" customHeight="true" outlineLevel="0" collapsed="false">
      <c r="A38" s="3" t="s">
        <v>199</v>
      </c>
      <c r="B38" s="3" t="s">
        <v>200</v>
      </c>
      <c r="C38" s="3" t="s">
        <v>201</v>
      </c>
      <c r="D38" s="3" t="s">
        <v>202</v>
      </c>
      <c r="E38" s="3" t="s">
        <v>203</v>
      </c>
      <c r="F38" s="3" t="s">
        <v>204</v>
      </c>
      <c r="G38" s="3" t="s">
        <v>205</v>
      </c>
      <c r="H38" s="3" t="s">
        <v>206</v>
      </c>
      <c r="I38" s="3" t="s">
        <v>207</v>
      </c>
      <c r="J38" s="3" t="s">
        <v>208</v>
      </c>
      <c r="K38" s="3" t="s">
        <v>209</v>
      </c>
      <c r="L38" s="3" t="s">
        <v>210</v>
      </c>
      <c r="M38" s="3" t="s">
        <v>211</v>
      </c>
      <c r="N38" s="3" t="s">
        <v>212</v>
      </c>
    </row>
    <row r="39" customFormat="false" ht="15" hidden="false" customHeight="false" outlineLevel="0" collapsed="false">
      <c r="A39" s="7" t="s">
        <v>213</v>
      </c>
      <c r="B39" s="26" t="n">
        <v>0</v>
      </c>
      <c r="C39" s="26" t="n">
        <v>0</v>
      </c>
      <c r="D39" s="26" t="n">
        <v>0</v>
      </c>
      <c r="E39" s="26" t="n">
        <v>0</v>
      </c>
      <c r="F39" s="26" t="n">
        <v>0</v>
      </c>
      <c r="G39" s="26" t="n">
        <v>0</v>
      </c>
      <c r="H39" s="26" t="n">
        <v>0</v>
      </c>
      <c r="I39" s="26" t="n">
        <v>0</v>
      </c>
      <c r="J39" s="26" t="n">
        <v>0</v>
      </c>
      <c r="K39" s="26" t="n">
        <v>0</v>
      </c>
      <c r="L39" s="26" t="n">
        <v>0</v>
      </c>
      <c r="M39" s="26" t="n">
        <v>0</v>
      </c>
      <c r="N39" s="27" t="n">
        <f aca="false">SUM(B39:M39)</f>
        <v>0</v>
      </c>
    </row>
    <row r="40" customFormat="false" ht="15" hidden="false" customHeight="false" outlineLevel="0" collapsed="false">
      <c r="A40" s="7" t="s">
        <v>214</v>
      </c>
      <c r="B40" s="16" t="n">
        <f aca="false">B39*Inputs!$B$5</f>
        <v>0</v>
      </c>
      <c r="C40" s="16" t="n">
        <f aca="false">C39*Inputs!$B$5</f>
        <v>0</v>
      </c>
      <c r="D40" s="16" t="n">
        <f aca="false">D39*Inputs!$B$5</f>
        <v>0</v>
      </c>
      <c r="E40" s="16" t="n">
        <f aca="false">E39*Inputs!$B$5</f>
        <v>0</v>
      </c>
      <c r="F40" s="16" t="n">
        <f aca="false">F39*Inputs!$B$5</f>
        <v>0</v>
      </c>
      <c r="G40" s="16" t="n">
        <f aca="false">G39*Inputs!$B$5</f>
        <v>0</v>
      </c>
      <c r="H40" s="16" t="n">
        <f aca="false">H39*Inputs!$B$5</f>
        <v>0</v>
      </c>
      <c r="I40" s="16" t="n">
        <f aca="false">I39*Inputs!$B$5</f>
        <v>0</v>
      </c>
      <c r="J40" s="16" t="n">
        <f aca="false">J39*Inputs!$B$5</f>
        <v>0</v>
      </c>
      <c r="K40" s="16" t="n">
        <f aca="false">K39*Inputs!$B$5</f>
        <v>0</v>
      </c>
      <c r="L40" s="16" t="n">
        <f aca="false">L39*Inputs!$B$5</f>
        <v>0</v>
      </c>
      <c r="M40" s="16" t="n">
        <f aca="false">M39*Inputs!$B$5</f>
        <v>0</v>
      </c>
      <c r="N40" s="28" t="n">
        <f aca="false">SUM(B40:M40)</f>
        <v>0</v>
      </c>
    </row>
    <row r="41" customFormat="false" ht="15" hidden="false" customHeight="false" outlineLevel="0" collapsed="false">
      <c r="A41" s="7" t="s">
        <v>215</v>
      </c>
      <c r="B41" s="16" t="n">
        <f aca="false">B39*UnitEconomics!$B$16</f>
        <v>0</v>
      </c>
      <c r="C41" s="16" t="n">
        <f aca="false">C39*UnitEconomics!$B$16</f>
        <v>0</v>
      </c>
      <c r="D41" s="16" t="n">
        <f aca="false">D39*UnitEconomics!$B$16</f>
        <v>0</v>
      </c>
      <c r="E41" s="16" t="n">
        <f aca="false">E39*UnitEconomics!$B$16</f>
        <v>0</v>
      </c>
      <c r="F41" s="16" t="n">
        <f aca="false">F39*UnitEconomics!$B$16</f>
        <v>0</v>
      </c>
      <c r="G41" s="16" t="n">
        <f aca="false">G39*UnitEconomics!$B$16</f>
        <v>0</v>
      </c>
      <c r="H41" s="16" t="n">
        <f aca="false">H39*UnitEconomics!$B$16</f>
        <v>0</v>
      </c>
      <c r="I41" s="16" t="n">
        <f aca="false">I39*UnitEconomics!$B$16</f>
        <v>0</v>
      </c>
      <c r="J41" s="16" t="n">
        <f aca="false">J39*UnitEconomics!$B$16</f>
        <v>0</v>
      </c>
      <c r="K41" s="16" t="n">
        <f aca="false">K39*UnitEconomics!$B$16</f>
        <v>0</v>
      </c>
      <c r="L41" s="16" t="n">
        <f aca="false">L39*UnitEconomics!$B$16</f>
        <v>0</v>
      </c>
      <c r="M41" s="16" t="n">
        <f aca="false">M39*UnitEconomics!$B$16</f>
        <v>0</v>
      </c>
      <c r="N41" s="28" t="n">
        <f aca="false">SUM(B41:M41)</f>
        <v>0</v>
      </c>
    </row>
    <row r="42" customFormat="false" ht="15" hidden="false" customHeight="false" outlineLevel="0" collapsed="false">
      <c r="A42" s="7" t="s">
        <v>216</v>
      </c>
      <c r="B42" s="16" t="n">
        <f aca="false">-Costs!$C$28</f>
        <v>-847.333333333333</v>
      </c>
      <c r="C42" s="16" t="n">
        <f aca="false">-Costs!$C$28</f>
        <v>-847.333333333333</v>
      </c>
      <c r="D42" s="16" t="n">
        <f aca="false">-Costs!$C$28</f>
        <v>-847.333333333333</v>
      </c>
      <c r="E42" s="16" t="n">
        <f aca="false">-Costs!$C$28</f>
        <v>-847.333333333333</v>
      </c>
      <c r="F42" s="16" t="n">
        <f aca="false">-Costs!$C$28</f>
        <v>-847.333333333333</v>
      </c>
      <c r="G42" s="16" t="n">
        <f aca="false">-Costs!$C$28</f>
        <v>-847.333333333333</v>
      </c>
      <c r="H42" s="16" t="n">
        <f aca="false">-Costs!$C$28</f>
        <v>-847.333333333333</v>
      </c>
      <c r="I42" s="16" t="n">
        <f aca="false">-Costs!$C$28</f>
        <v>-847.333333333333</v>
      </c>
      <c r="J42" s="16" t="n">
        <f aca="false">-Costs!$C$28</f>
        <v>-847.333333333333</v>
      </c>
      <c r="K42" s="16" t="n">
        <f aca="false">-Costs!$C$28</f>
        <v>-847.333333333333</v>
      </c>
      <c r="L42" s="16" t="n">
        <f aca="false">-Costs!$C$28</f>
        <v>-847.333333333333</v>
      </c>
      <c r="M42" s="16" t="n">
        <f aca="false">-Costs!$C$28</f>
        <v>-847.333333333333</v>
      </c>
      <c r="N42" s="28" t="n">
        <f aca="false">SUM(B42:M42)</f>
        <v>-10168</v>
      </c>
    </row>
    <row r="43" customFormat="false" ht="15" hidden="false" customHeight="false" outlineLevel="0" collapsed="false">
      <c r="A43" s="7" t="s">
        <v>217</v>
      </c>
      <c r="B43" s="16" t="n">
        <f aca="false">-Drivers!$B$13</f>
        <v>-0</v>
      </c>
      <c r="C43" s="16" t="n">
        <f aca="false">-Drivers!$B$13</f>
        <v>-0</v>
      </c>
      <c r="D43" s="16" t="n">
        <f aca="false">-Drivers!$B$13</f>
        <v>-0</v>
      </c>
      <c r="E43" s="16" t="n">
        <f aca="false">-Drivers!$B$13</f>
        <v>-0</v>
      </c>
      <c r="F43" s="16" t="n">
        <f aca="false">-Drivers!$B$13</f>
        <v>-0</v>
      </c>
      <c r="G43" s="16" t="n">
        <f aca="false">-Drivers!$B$13</f>
        <v>-0</v>
      </c>
      <c r="H43" s="16" t="n">
        <f aca="false">-Drivers!$B$13</f>
        <v>-0</v>
      </c>
      <c r="I43" s="16" t="n">
        <f aca="false">-Drivers!$B$13</f>
        <v>-0</v>
      </c>
      <c r="J43" s="16" t="n">
        <f aca="false">-Drivers!$B$13</f>
        <v>-0</v>
      </c>
      <c r="K43" s="16" t="n">
        <f aca="false">-Drivers!$B$13</f>
        <v>-0</v>
      </c>
      <c r="L43" s="16" t="n">
        <f aca="false">-Drivers!$B$13</f>
        <v>-0</v>
      </c>
      <c r="M43" s="16" t="n">
        <f aca="false">-Drivers!$B$13</f>
        <v>-0</v>
      </c>
      <c r="N43" s="28" t="n">
        <f aca="false">SUM(B43:M43)</f>
        <v>0</v>
      </c>
    </row>
    <row r="44" customFormat="false" ht="15" hidden="false" customHeight="false" outlineLevel="0" collapsed="false">
      <c r="A44" s="8" t="s">
        <v>218</v>
      </c>
      <c r="B44" s="28" t="n">
        <f aca="false">B41+B42+B43</f>
        <v>-847.333333333333</v>
      </c>
      <c r="C44" s="28" t="n">
        <f aca="false">C41+C42+C43</f>
        <v>-847.333333333333</v>
      </c>
      <c r="D44" s="28" t="n">
        <f aca="false">D41+D42+D43</f>
        <v>-847.333333333333</v>
      </c>
      <c r="E44" s="28" t="n">
        <f aca="false">E41+E42+E43</f>
        <v>-847.333333333333</v>
      </c>
      <c r="F44" s="28" t="n">
        <f aca="false">F41+F42+F43</f>
        <v>-847.333333333333</v>
      </c>
      <c r="G44" s="28" t="n">
        <f aca="false">G41+G42+G43</f>
        <v>-847.333333333333</v>
      </c>
      <c r="H44" s="28" t="n">
        <f aca="false">H41+H42+H43</f>
        <v>-847.333333333333</v>
      </c>
      <c r="I44" s="28" t="n">
        <f aca="false">I41+I42+I43</f>
        <v>-847.333333333333</v>
      </c>
      <c r="J44" s="28" t="n">
        <f aca="false">J41+J42+J43</f>
        <v>-847.333333333333</v>
      </c>
      <c r="K44" s="28" t="n">
        <f aca="false">K41+K42+K43</f>
        <v>-847.333333333333</v>
      </c>
      <c r="L44" s="28" t="n">
        <f aca="false">L41+L42+L43</f>
        <v>-847.333333333333</v>
      </c>
      <c r="M44" s="28" t="n">
        <f aca="false">M41+M42+M43</f>
        <v>-847.333333333333</v>
      </c>
    </row>
    <row r="45" customFormat="false" ht="15" hidden="false" customHeight="false" outlineLevel="0" collapsed="false">
      <c r="A45" s="14" t="s">
        <v>219</v>
      </c>
      <c r="B45" s="17" t="n">
        <f aca="false">B44-Costs!$C$14</f>
        <v>-11638.1333333333</v>
      </c>
      <c r="C45" s="17" t="n">
        <f aca="false">B45+C44</f>
        <v>-12485.4666666667</v>
      </c>
      <c r="D45" s="17" t="n">
        <f aca="false">C45+D44</f>
        <v>-13332.8</v>
      </c>
      <c r="E45" s="17" t="n">
        <f aca="false">D45+E44</f>
        <v>-14180.1333333333</v>
      </c>
      <c r="F45" s="17" t="n">
        <f aca="false">E45+F44</f>
        <v>-15027.4666666667</v>
      </c>
      <c r="G45" s="17" t="n">
        <f aca="false">F45+G44</f>
        <v>-15874.8</v>
      </c>
      <c r="H45" s="17" t="n">
        <f aca="false">G45+H44</f>
        <v>-16722.1333333333</v>
      </c>
      <c r="I45" s="17" t="n">
        <f aca="false">H45+I44</f>
        <v>-17569.4666666667</v>
      </c>
      <c r="J45" s="17" t="n">
        <f aca="false">I45+J44</f>
        <v>-18416.8</v>
      </c>
      <c r="K45" s="17" t="n">
        <f aca="false">J45+K44</f>
        <v>-19264.1333333333</v>
      </c>
      <c r="L45" s="17" t="n">
        <f aca="false">K45+L44</f>
        <v>-20111.4666666667</v>
      </c>
      <c r="M45" s="17" t="n">
        <f aca="false">L45+M44</f>
        <v>-20958.8</v>
      </c>
      <c r="N45" s="17" t="n">
        <f aca="false">MIN(B45:M45)</f>
        <v>-20958.8</v>
      </c>
    </row>
    <row r="46" customFormat="false" ht="15" hidden="false" customHeight="true" outlineLevel="0" collapsed="false">
      <c r="A46" s="9" t="s">
        <v>220</v>
      </c>
      <c r="B46" s="9"/>
      <c r="C46" s="9"/>
      <c r="D46" s="9"/>
      <c r="E46" s="9"/>
      <c r="F46" s="9"/>
      <c r="G46" s="9"/>
      <c r="H46" s="9"/>
      <c r="I46" s="9"/>
      <c r="J46" s="9"/>
      <c r="K46" s="9"/>
      <c r="L46" s="9"/>
      <c r="M46" s="9"/>
      <c r="N46" s="9"/>
    </row>
    <row r="48" customFormat="false" ht="31.5" hidden="false" customHeight="true" outlineLevel="0" collapsed="false">
      <c r="A48" s="20" t="s">
        <v>224</v>
      </c>
      <c r="B48" s="20"/>
      <c r="C48" s="20"/>
      <c r="D48" s="20"/>
      <c r="E48" s="20"/>
      <c r="F48" s="20"/>
      <c r="G48" s="20"/>
      <c r="H48" s="20"/>
      <c r="I48" s="20"/>
      <c r="J48" s="20"/>
      <c r="K48" s="20"/>
      <c r="L48" s="20"/>
      <c r="M48" s="20"/>
      <c r="N48" s="20"/>
    </row>
  </sheetData>
  <mergeCells count="11">
    <mergeCell ref="A1:N1"/>
    <mergeCell ref="A2:N2"/>
    <mergeCell ref="A4:N4"/>
    <mergeCell ref="A13:N13"/>
    <mergeCell ref="A15:N15"/>
    <mergeCell ref="A24:N24"/>
    <mergeCell ref="A26:N26"/>
    <mergeCell ref="A35:N35"/>
    <mergeCell ref="A37:N37"/>
    <mergeCell ref="A46:N46"/>
    <mergeCell ref="A48:N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8"/>
    <col collapsed="false" customWidth="true" hidden="false" outlineLevel="0" max="3" min="3" style="0" width="66"/>
  </cols>
  <sheetData>
    <row r="1" customFormat="false" ht="17.35" hidden="false" customHeight="false" outlineLevel="0" collapsed="false">
      <c r="A1" s="1" t="s">
        <v>225</v>
      </c>
      <c r="B1" s="1"/>
      <c r="C1" s="1"/>
    </row>
    <row r="2" customFormat="false" ht="15" hidden="false" customHeight="false" outlineLevel="0" collapsed="false">
      <c r="A2" s="2" t="s">
        <v>226</v>
      </c>
      <c r="B2" s="2"/>
      <c r="C2" s="2"/>
    </row>
    <row r="4" customFormat="false" ht="27.75" hidden="false" customHeight="true" outlineLevel="0" collapsed="false">
      <c r="A4" s="3" t="s">
        <v>176</v>
      </c>
      <c r="B4" s="3" t="s">
        <v>20</v>
      </c>
      <c r="C4" s="3" t="s">
        <v>96</v>
      </c>
    </row>
    <row r="5" customFormat="false" ht="25.5" hidden="false" customHeight="true" outlineLevel="0" collapsed="false">
      <c r="A5" s="5" t="s">
        <v>227</v>
      </c>
      <c r="B5" s="21" t="n">
        <f aca="false">Inputs!$B$7</f>
        <v>100.14</v>
      </c>
      <c r="C5" s="9" t="s">
        <v>228</v>
      </c>
    </row>
    <row r="6" customFormat="false" ht="25.5" hidden="false" customHeight="true" outlineLevel="0" collapsed="false">
      <c r="A6" s="5" t="s">
        <v>229</v>
      </c>
      <c r="B6" s="25" t="n">
        <f aca="false">Drivers!$B$11</f>
        <v>38</v>
      </c>
      <c r="C6" s="9" t="s">
        <v>230</v>
      </c>
    </row>
    <row r="7" customFormat="false" ht="25.5" hidden="false" customHeight="true" outlineLevel="0" collapsed="false">
      <c r="A7" s="5" t="s">
        <v>231</v>
      </c>
      <c r="B7" s="22" t="n">
        <f aca="false">Drivers!$B$10</f>
        <v>0.55</v>
      </c>
      <c r="C7" s="9" t="s">
        <v>232</v>
      </c>
    </row>
    <row r="8" customFormat="false" ht="25.5" hidden="false" customHeight="true" outlineLevel="0" collapsed="false">
      <c r="A8" s="5" t="s">
        <v>233</v>
      </c>
      <c r="B8" s="25" t="n">
        <f aca="false">Drivers!$B$11*Drivers!$B$10*52/12</f>
        <v>90.5666666666667</v>
      </c>
      <c r="C8" s="9" t="s">
        <v>234</v>
      </c>
    </row>
    <row r="9" customFormat="false" ht="25.5" hidden="false" customHeight="true" outlineLevel="0" collapsed="false">
      <c r="A9" s="5" t="s">
        <v>235</v>
      </c>
      <c r="B9" s="21" t="n">
        <f aca="false">B8*Inputs!$B$7</f>
        <v>9069.346</v>
      </c>
      <c r="C9" s="9" t="s">
        <v>236</v>
      </c>
    </row>
    <row r="10" customFormat="false" ht="25.5" hidden="false" customHeight="true" outlineLevel="0" collapsed="false">
      <c r="A10" s="5" t="s">
        <v>237</v>
      </c>
      <c r="B10" s="21" t="n">
        <f aca="false">Costs!$C$28</f>
        <v>847.333333333333</v>
      </c>
      <c r="C10" s="9" t="s">
        <v>238</v>
      </c>
    </row>
    <row r="11" customFormat="false" ht="25.5" hidden="false" customHeight="true" outlineLevel="0" collapsed="false">
      <c r="A11" s="4" t="s">
        <v>239</v>
      </c>
      <c r="B11" s="19" t="n">
        <f aca="false">B9-B10</f>
        <v>8222.01266666667</v>
      </c>
      <c r="C11" s="9" t="s">
        <v>240</v>
      </c>
    </row>
    <row r="12" customFormat="false" ht="25.5" hidden="false" customHeight="true" outlineLevel="0" collapsed="false">
      <c r="A12" s="4" t="s">
        <v>241</v>
      </c>
      <c r="B12" s="19" t="n">
        <f aca="false">B11*12</f>
        <v>98664.152</v>
      </c>
      <c r="C12" s="9" t="s">
        <v>242</v>
      </c>
    </row>
    <row r="13" customFormat="false" ht="25.5" hidden="false" customHeight="true" outlineLevel="0" collapsed="false">
      <c r="A13" s="5" t="s">
        <v>243</v>
      </c>
      <c r="B13" s="25" t="n">
        <f aca="false">Costs!$C$28/Inputs!$B$7</f>
        <v>8.46148725118168</v>
      </c>
      <c r="C13" s="9" t="s">
        <v>244</v>
      </c>
    </row>
    <row r="14" customFormat="false" ht="25.5" hidden="false" customHeight="true" outlineLevel="0" collapsed="false">
      <c r="A14" s="5" t="s">
        <v>245</v>
      </c>
      <c r="B14" s="21" t="n">
        <f aca="false">636+108+Drivers!$B$9+139.2+290</f>
        <v>3673.2</v>
      </c>
      <c r="C14" s="9" t="s">
        <v>246</v>
      </c>
    </row>
    <row r="16" customFormat="false" ht="15" hidden="false" customHeight="false" outlineLevel="0" collapsed="false">
      <c r="A16" s="14" t="s">
        <v>247</v>
      </c>
      <c r="B16" s="14"/>
      <c r="C16" s="14"/>
    </row>
    <row r="17" customFormat="false" ht="27.75" hidden="false" customHeight="true" outlineLevel="0" collapsed="false">
      <c r="A17" s="3" t="s">
        <v>248</v>
      </c>
      <c r="B17" s="3" t="s">
        <v>249</v>
      </c>
      <c r="C17" s="3" t="s">
        <v>233</v>
      </c>
    </row>
    <row r="18" customFormat="false" ht="15" hidden="false" customHeight="false" outlineLevel="0" collapsed="false">
      <c r="A18" s="10" t="n">
        <v>0.25</v>
      </c>
      <c r="B18" s="16" t="n">
        <f aca="false">(Drivers!$B$11*A18*52/12*Inputs!$B$7-Costs!$C$28)*12</f>
        <v>39301.16</v>
      </c>
      <c r="C18" s="25" t="n">
        <f aca="false">Drivers!$B$11*A18*52/12</f>
        <v>41.1666666666667</v>
      </c>
    </row>
    <row r="19" customFormat="false" ht="15" hidden="false" customHeight="false" outlineLevel="0" collapsed="false">
      <c r="A19" s="10" t="n">
        <v>0.35</v>
      </c>
      <c r="B19" s="16" t="n">
        <f aca="false">(Drivers!$B$11*A19*52/12*Inputs!$B$7-Costs!$C$28)*12</f>
        <v>59088.824</v>
      </c>
      <c r="C19" s="25" t="n">
        <f aca="false">Drivers!$B$11*A19*52/12</f>
        <v>57.6333333333333</v>
      </c>
    </row>
    <row r="20" customFormat="false" ht="15" hidden="false" customHeight="false" outlineLevel="0" collapsed="false">
      <c r="A20" s="10" t="n">
        <v>0.45</v>
      </c>
      <c r="B20" s="16" t="n">
        <f aca="false">(Drivers!$B$11*A20*52/12*Inputs!$B$7-Costs!$C$28)*12</f>
        <v>78876.488</v>
      </c>
      <c r="C20" s="25" t="n">
        <f aca="false">Drivers!$B$11*A20*52/12</f>
        <v>74.1</v>
      </c>
    </row>
    <row r="21" customFormat="false" ht="15" hidden="false" customHeight="false" outlineLevel="0" collapsed="false">
      <c r="A21" s="10" t="n">
        <v>0.55</v>
      </c>
      <c r="B21" s="16" t="n">
        <f aca="false">(Drivers!$B$11*A21*52/12*Inputs!$B$7-Costs!$C$28)*12</f>
        <v>98664.152</v>
      </c>
      <c r="C21" s="25" t="n">
        <f aca="false">Drivers!$B$11*A21*52/12</f>
        <v>90.5666666666667</v>
      </c>
    </row>
    <row r="22" customFormat="false" ht="15" hidden="false" customHeight="false" outlineLevel="0" collapsed="false">
      <c r="A22" s="10" t="n">
        <v>0.65</v>
      </c>
      <c r="B22" s="16" t="n">
        <f aca="false">(Drivers!$B$11*A22*52/12*Inputs!$B$7-Costs!$C$28)*12</f>
        <v>118451.816</v>
      </c>
      <c r="C22" s="25" t="n">
        <f aca="false">Drivers!$B$11*A22*52/12</f>
        <v>107.033333333333</v>
      </c>
    </row>
    <row r="23" customFormat="false" ht="15" hidden="false" customHeight="false" outlineLevel="0" collapsed="false">
      <c r="A23" s="10" t="n">
        <v>0.75</v>
      </c>
      <c r="B23" s="16" t="n">
        <f aca="false">(Drivers!$B$11*A23*52/12*Inputs!$B$7-Costs!$C$28)*12</f>
        <v>138239.48</v>
      </c>
      <c r="C23" s="25" t="n">
        <f aca="false">Drivers!$B$11*A23*52/12</f>
        <v>123.5</v>
      </c>
    </row>
    <row r="25" customFormat="false" ht="55.5" hidden="false" customHeight="true" outlineLevel="0" collapsed="false">
      <c r="A25" s="20" t="s">
        <v>250</v>
      </c>
      <c r="B25" s="20"/>
      <c r="C25" s="20"/>
    </row>
  </sheetData>
  <mergeCells count="4">
    <mergeCell ref="A1:C1"/>
    <mergeCell ref="A2:C2"/>
    <mergeCell ref="A16:C16"/>
    <mergeCell ref="A25:C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4"/>
    <col collapsed="false" customWidth="true" hidden="false" outlineLevel="0" max="2" min="2" style="0" width="18"/>
    <col collapsed="false" customWidth="true" hidden="false" outlineLevel="0" max="3" min="3" style="0" width="16"/>
    <col collapsed="false" customWidth="true" hidden="false" outlineLevel="0" max="4" min="4" style="0" width="56"/>
  </cols>
  <sheetData>
    <row r="1" customFormat="false" ht="17.35" hidden="false" customHeight="false" outlineLevel="0" collapsed="false">
      <c r="A1" s="1" t="s">
        <v>251</v>
      </c>
      <c r="B1" s="1"/>
      <c r="C1" s="1"/>
      <c r="D1" s="1"/>
    </row>
    <row r="2" customFormat="false" ht="15" hidden="false" customHeight="false" outlineLevel="0" collapsed="false">
      <c r="A2" s="2" t="s">
        <v>252</v>
      </c>
      <c r="B2" s="2"/>
      <c r="C2" s="2"/>
      <c r="D2" s="2"/>
    </row>
    <row r="4" customFormat="false" ht="27.75" hidden="false" customHeight="true" outlineLevel="0" collapsed="false">
      <c r="A4" s="3" t="s">
        <v>253</v>
      </c>
      <c r="B4" s="3" t="s">
        <v>254</v>
      </c>
      <c r="C4" s="3" t="s">
        <v>255</v>
      </c>
      <c r="D4" s="3" t="s">
        <v>256</v>
      </c>
    </row>
    <row r="5" customFormat="false" ht="27.75" hidden="false" customHeight="true" outlineLevel="0" collapsed="false">
      <c r="A5" s="5" t="s">
        <v>257</v>
      </c>
      <c r="B5" s="29" t="n">
        <f aca="false">UnitEconomics!$B$16</f>
        <v>21.30424</v>
      </c>
      <c r="C5" s="21" t="s">
        <v>44</v>
      </c>
      <c r="D5" s="9" t="s">
        <v>95</v>
      </c>
    </row>
    <row r="6" customFormat="false" ht="27.75" hidden="false" customHeight="true" outlineLevel="0" collapsed="false">
      <c r="A6" s="5" t="s">
        <v>258</v>
      </c>
      <c r="B6" s="29" t="n">
        <f aca="false">UnitEconomics!$B$16-Inputs!$B$9*(1+Inputs!$B$10+Inputs!$B$11+Inputs!$B$12)*0.4</f>
        <v>-2.06745800000001</v>
      </c>
      <c r="C6" s="21" t="n">
        <f aca="false">B6-$B$5</f>
        <v>-23.371698</v>
      </c>
      <c r="D6" s="9" t="s">
        <v>259</v>
      </c>
    </row>
    <row r="7" customFormat="false" ht="27.75" hidden="false" customHeight="true" outlineLevel="0" collapsed="false">
      <c r="A7" s="5" t="s">
        <v>260</v>
      </c>
      <c r="B7" s="29" t="n">
        <f aca="false">UnitEconomics!$B$14</f>
        <v>6.69692875</v>
      </c>
      <c r="C7" s="21" t="n">
        <f aca="false">B7-$B$5</f>
        <v>-14.60731125</v>
      </c>
      <c r="D7" s="9" t="s">
        <v>60</v>
      </c>
    </row>
    <row r="8" customFormat="false" ht="27.75" hidden="false" customHeight="true" outlineLevel="0" collapsed="false">
      <c r="A8" s="5" t="s">
        <v>261</v>
      </c>
      <c r="B8" s="29" t="n">
        <f aca="false">Inputs!$B$5-Inputs!$B$9*(1+Inputs!$B$10+Inputs!$B$11+Inputs!$B$12+Inputs!$B$13)</f>
        <v>15.150755</v>
      </c>
      <c r="C8" s="21" t="n">
        <f aca="false">B8-$B$5</f>
        <v>-6.153485</v>
      </c>
      <c r="D8" s="9" t="s">
        <v>262</v>
      </c>
    </row>
    <row r="9" customFormat="false" ht="27.75" hidden="false" customHeight="true" outlineLevel="0" collapsed="false">
      <c r="A9" s="5" t="s">
        <v>263</v>
      </c>
      <c r="B9" s="29" t="n">
        <f aca="false">Inputs!$B$5-Inputs!$B$8*(1+Inputs!$B$10+Inputs!$B$11+Inputs!$B$12+0.0485)</f>
        <v>19.10816</v>
      </c>
      <c r="C9" s="21" t="n">
        <f aca="false">B9-$B$5</f>
        <v>-2.19608000000001</v>
      </c>
      <c r="D9" s="9" t="s">
        <v>264</v>
      </c>
    </row>
    <row r="10" customFormat="false" ht="27.75" hidden="false" customHeight="true" outlineLevel="0" collapsed="false">
      <c r="A10" s="5" t="s">
        <v>265</v>
      </c>
      <c r="B10" s="29" t="n">
        <f aca="false">Inputs!$B$5-Inputs!$B$8*(1+Inputs!$B$10+0.03+Inputs!$B$12+Inputs!$B$13)</f>
        <v>20.76088</v>
      </c>
      <c r="C10" s="21" t="n">
        <f aca="false">B10-$B$5</f>
        <v>-0.543360000000003</v>
      </c>
      <c r="D10" s="9" t="s">
        <v>266</v>
      </c>
    </row>
    <row r="12" customFormat="false" ht="55.5" hidden="false" customHeight="true" outlineLevel="0" collapsed="false">
      <c r="A12" s="20" t="s">
        <v>267</v>
      </c>
      <c r="B12" s="20"/>
      <c r="C12" s="20"/>
      <c r="D12" s="20"/>
    </row>
  </sheetData>
  <mergeCells count="3">
    <mergeCell ref="A1:D1"/>
    <mergeCell ref="A2:D2"/>
    <mergeCell ref="A12:D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2026-09-07T06:21:13Z</dcterms:created>
  <dc:creator>openpyxl</dc:creator>
  <dc:description/>
  <dc:language>en-US</dc:language>
  <cp:lastModifiedBy/>
  <dcterms:modified xsi:type="dcterms:W3CDTF">2026-09-07T06:21:13Z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