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Drivers" sheetId="3" state="visible" r:id="rId3"/>
    <sheet xmlns:r="http://schemas.openxmlformats.org/officeDocument/2006/relationships" name="Costs" sheetId="4" state="visible" r:id="rId4"/>
    <sheet xmlns:r="http://schemas.openxmlformats.org/officeDocument/2006/relationships" name="UnitEconomics" sheetId="5" state="visible" r:id="rId5"/>
    <sheet xmlns:r="http://schemas.openxmlformats.org/officeDocument/2006/relationships" name="BreakEven" sheetId="6" state="visible" r:id="rId6"/>
    <sheet xmlns:r="http://schemas.openxmlformats.org/officeDocument/2006/relationships" name="Scenarios" sheetId="7" state="visible" r:id="rId7"/>
    <sheet xmlns:r="http://schemas.openxmlformats.org/officeDocument/2006/relationships" name="SupportCoordination" sheetId="8" state="visible" r:id="rId8"/>
    <sheet xmlns:r="http://schemas.openxmlformats.org/officeDocument/2006/relationships" name="Sensitivity" sheetId="9" state="visible" r:id="rId9"/>
  </sheets>
  <definedNames/>
  <calcPr calcId="124519" fullCalcOnLoad="1"/>
</workbook>
</file>

<file path=xl/styles.xml><?xml version="1.0" encoding="utf-8"?>
<styleSheet xmlns="http://schemas.openxmlformats.org/spreadsheetml/2006/main">
  <numFmts count="4">
    <numFmt numFmtId="164" formatCode="$#,##0.00;($#,##0.00);-"/>
    <numFmt numFmtId="165" formatCode="0.0%"/>
    <numFmt numFmtId="166" formatCode="#,##0.0"/>
    <numFmt numFmtId="167" formatCode="$#,##0;($#,##0);-"/>
  </numFmts>
  <fonts count="8">
    <font>
      <name val="Calibri"/>
      <family val="2"/>
      <color theme="1"/>
      <sz val="11"/>
      <scheme val="minor"/>
    </font>
    <font>
      <name val="Arial"/>
      <b val="1"/>
      <color rgb="001B2A38"/>
      <sz val="14"/>
    </font>
    <font>
      <name val="Arial"/>
      <i val="1"/>
      <color rgb="0055636E"/>
      <sz val="9"/>
    </font>
    <font>
      <name val="Arial"/>
      <b val="1"/>
      <color rgb="00FFFFFF"/>
      <sz val="11"/>
    </font>
    <font>
      <name val="Arial"/>
      <b val="1"/>
      <sz val="10"/>
    </font>
    <font>
      <name val="Arial"/>
      <sz val="10"/>
    </font>
    <font>
      <name val="Arial"/>
      <color rgb="000000FF"/>
      <sz val="10"/>
    </font>
    <font>
      <name val="Arial"/>
      <b val="1"/>
      <i val="1"/>
      <color rgb="00B03A2E"/>
      <sz val="9"/>
    </font>
  </fonts>
  <fills count="5">
    <fill>
      <patternFill/>
    </fill>
    <fill>
      <patternFill patternType="gray125"/>
    </fill>
    <fill>
      <patternFill patternType="solid">
        <fgColor rgb="001B2A38"/>
      </patternFill>
    </fill>
    <fill>
      <patternFill patternType="solid">
        <fgColor rgb="00FFFF00"/>
      </patternFill>
    </fill>
    <fill>
      <patternFill patternType="solid">
        <fgColor rgb="00EDF2F5"/>
      </patternFill>
    </fill>
  </fills>
  <borders count="6">
    <border>
      <left/>
      <right/>
      <top/>
      <bottom/>
      <diagonal/>
    </border>
    <border>
      <left style="thin">
        <color rgb="00D5DEE4"/>
      </left>
      <right style="thin">
        <color rgb="00D5DEE4"/>
      </right>
      <top style="thin">
        <color rgb="00D5DEE4"/>
      </top>
      <bottom style="thin">
        <color rgb="00D5DEE4"/>
      </bottom>
    </border>
    <border>
      <left/>
      <right/>
      <top style="thin">
        <color rgb="00D5DEE4"/>
      </top>
      <bottom/>
      <diagonal/>
    </border>
    <border>
      <left/>
      <right style="thin">
        <color rgb="00D5DEE4"/>
      </right>
      <top style="thin">
        <color rgb="00D5DEE4"/>
      </top>
      <bottom/>
      <diagonal/>
    </border>
    <border>
      <left/>
      <right/>
      <top style="thin">
        <color rgb="00D5DEE4"/>
      </top>
      <bottom style="thin">
        <color rgb="00D5DEE4"/>
      </bottom>
      <diagonal/>
    </border>
    <border>
      <left/>
      <right style="thin">
        <color rgb="00D5DEE4"/>
      </right>
      <top style="thin">
        <color rgb="00D5DEE4"/>
      </top>
      <bottom style="thin">
        <color rgb="00D5DEE4"/>
      </bottom>
      <diagonal/>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164" fontId="6" fillId="0" borderId="1" applyAlignment="1" pivotButton="0" quotePrefix="0" xfId="0">
      <alignment vertical="top"/>
    </xf>
    <xf numFmtId="0" fontId="5" fillId="0" borderId="1" applyAlignment="1" pivotButton="0" quotePrefix="0" xfId="0">
      <alignment vertical="top"/>
    </xf>
    <xf numFmtId="0" fontId="4" fillId="0" borderId="1" applyAlignment="1" pivotButton="0" quotePrefix="0" xfId="0">
      <alignment vertical="top"/>
    </xf>
    <xf numFmtId="0" fontId="2" fillId="0" borderId="1" applyAlignment="1" pivotButton="0" quotePrefix="0" xfId="0">
      <alignment vertical="top" wrapText="1"/>
    </xf>
    <xf numFmtId="165" fontId="6" fillId="0" borderId="1" applyAlignment="1" pivotButton="0" quotePrefix="0" xfId="0">
      <alignment vertical="top"/>
    </xf>
    <xf numFmtId="166" fontId="6" fillId="3" borderId="1" applyAlignment="1" pivotButton="0" quotePrefix="0" xfId="0">
      <alignment vertical="top"/>
    </xf>
    <xf numFmtId="167" fontId="6" fillId="3" borderId="1" applyAlignment="1" pivotButton="0" quotePrefix="0" xfId="0">
      <alignment vertical="top"/>
    </xf>
    <xf numFmtId="165" fontId="6" fillId="3" borderId="1" applyAlignment="1" pivotButton="0" quotePrefix="0" xfId="0">
      <alignment vertical="top"/>
    </xf>
    <xf numFmtId="0" fontId="4" fillId="4" borderId="1" applyAlignment="1" pivotButton="0" quotePrefix="0" xfId="0">
      <alignment vertical="top"/>
    </xf>
    <xf numFmtId="167" fontId="6" fillId="0" borderId="1" applyAlignment="1" pivotButton="0" quotePrefix="0" xfId="0">
      <alignment vertical="top"/>
    </xf>
    <xf numFmtId="167" fontId="5" fillId="0" borderId="1" applyAlignment="1" pivotButton="0" quotePrefix="0" xfId="0">
      <alignment vertical="top"/>
    </xf>
    <xf numFmtId="167" fontId="4" fillId="4" borderId="1" applyAlignment="1" pivotButton="0" quotePrefix="0" xfId="0">
      <alignment vertical="top"/>
    </xf>
    <xf numFmtId="0" fontId="5" fillId="4" borderId="1" applyAlignment="1" pivotButton="0" quotePrefix="0" xfId="0">
      <alignment vertical="top"/>
    </xf>
    <xf numFmtId="164" fontId="4" fillId="4" borderId="1" applyAlignment="1" pivotButton="0" quotePrefix="0" xfId="0">
      <alignment vertical="top"/>
    </xf>
    <xf numFmtId="0" fontId="7" fillId="0" borderId="1" applyAlignment="1" pivotButton="0" quotePrefix="0" xfId="0">
      <alignment vertical="top" wrapText="1"/>
    </xf>
    <xf numFmtId="0" fontId="0" fillId="0" borderId="4" pivotButton="0" quotePrefix="0" xfId="0"/>
    <xf numFmtId="0" fontId="0" fillId="0" borderId="5" pivotButton="0" quotePrefix="0" xfId="0"/>
    <xf numFmtId="164" fontId="5" fillId="0" borderId="1" applyAlignment="1" pivotButton="0" quotePrefix="0" xfId="0">
      <alignment vertical="top"/>
    </xf>
    <xf numFmtId="165" fontId="5" fillId="0" borderId="1" applyAlignment="1" pivotButton="0" quotePrefix="0" xfId="0">
      <alignment vertical="top"/>
    </xf>
    <xf numFmtId="165" fontId="4" fillId="4" borderId="1" applyAlignment="1" pivotButton="0" quotePrefix="0" xfId="0">
      <alignment vertical="top"/>
    </xf>
    <xf numFmtId="0" fontId="4" fillId="4" borderId="1" applyAlignment="1" pivotButton="0" quotePrefix="0" xfId="0">
      <alignment vertical="top" wrapText="1"/>
    </xf>
    <xf numFmtId="166" fontId="5" fillId="0" borderId="1" applyAlignment="1" pivotButton="0" quotePrefix="0" xfId="0">
      <alignment vertical="top"/>
    </xf>
    <xf numFmtId="166" fontId="6" fillId="0" borderId="1" applyAlignment="1" pivotButton="0" quotePrefix="0" xfId="0">
      <alignment vertical="top"/>
    </xf>
    <xf numFmtId="166" fontId="4" fillId="0" borderId="1" applyAlignment="1" pivotButton="0" quotePrefix="0" xfId="0">
      <alignment vertical="top"/>
    </xf>
    <xf numFmtId="167" fontId="4" fillId="0" borderId="1" applyAlignment="1" pivotButton="0" quotePrefix="0" xfId="0">
      <alignment vertical="top"/>
    </xf>
    <xf numFmtId="164" fontId="4"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0" customWidth="1" min="1" max="1"/>
    <col width="108" customWidth="1" min="2" max="2"/>
  </cols>
  <sheetData>
    <row r="1">
      <c r="A1" s="1" t="inlineStr">
        <is>
          <t>NDIS Business Enabling Study — Financial Model  v1.0</t>
        </is>
      </c>
    </row>
    <row r="2">
      <c r="A2" s="2" t="inlineStr">
        <is>
          <t>Generated by 01_System/build_financial_model.py on 2026-08-20. Do not hand-edit; edit 01_System/model_params.py and rebuild.</t>
        </is>
      </c>
    </row>
    <row r="4" ht="28" customHeight="1">
      <c r="A4" s="3" t="inlineStr"/>
      <c r="B4" s="3" t="inlineStr">
        <is>
          <t>How this workbook works</t>
        </is>
      </c>
    </row>
    <row r="5" ht="28" customHeight="1">
      <c r="A5" s="4" t="inlineStr">
        <is>
          <t>WHAT THIS MODEL DOES</t>
        </is>
      </c>
      <c r="B5" s="5" t="inlineStr">
        <is>
          <t>Turns the sourced NDIS price limits and the sourced SCHADS wage into a margin per billable hour, then into a break-even volume, a twelve-month cash curve and a runway figure.</t>
        </is>
      </c>
    </row>
    <row r="6" ht="28" customHeight="1">
      <c r="A6" s="4" t="inlineStr">
        <is>
          <t>HOW TO USE IT</t>
        </is>
      </c>
      <c r="B6" s="5" t="inlineStr">
        <is>
          <t>Change a value in the Drivers sheet. Every downstream number recomputes. Nothing in this workbook is a typed-in result.</t>
        </is>
      </c>
    </row>
    <row r="7" ht="67" customHeight="1">
      <c r="A7" s="4" t="inlineStr">
        <is>
          <t>COLOUR LEGEND</t>
        </is>
      </c>
      <c r="B7" s="5" t="inlineStr">
        <is>
          <t>BLUE text  = a hard input taken from a source. The SRC-### beside it names that source.
YELLOW fill = an assumption, not a fact. The ASM-### beside it says what breaks if it is wrong. These are the cells to challenge first.
BLACK text = a formula. Do not overwrite it.</t>
        </is>
      </c>
    </row>
    <row r="8" ht="28" customHeight="1">
      <c r="A8" s="4" t="inlineStr">
        <is>
          <t>THE ONE THING TO READ FIRST</t>
        </is>
      </c>
      <c r="B8" s="5" t="inlineStr">
        <is>
          <t>UnitEconomics, row 'Contribution if administration is PAID'. If that number is small, the business only works while you personally do the rostering, notes and invoicing for nothing. That is the finding, not the margin.</t>
        </is>
      </c>
    </row>
    <row r="9" ht="54" customHeight="1">
      <c r="A9" s="4" t="inlineStr">
        <is>
          <t>WHAT THIS MODEL DOES NOT DO</t>
        </is>
      </c>
      <c r="B9" s="5" t="inlineStr">
        <is>
          <t>It does not model weekend or public holiday work: no arithmetically consistent SCHADS casual penalty rate could be sourced (DEF-003, BKL-002). It does not model SIL or SDA: no property parameters were supplied (BKL-005). It excludes payroll tax on the assumption the business stays below the Victorian threshold (ASM-003). It excludes income tax and GST entirely.</t>
        </is>
      </c>
    </row>
    <row r="10" ht="28" customHeight="1">
      <c r="A10" s="4" t="inlineStr">
        <is>
          <t>CURRENCY</t>
        </is>
      </c>
      <c r="B10" s="5" t="inlineStr">
        <is>
          <t>Every external figure was verified on 2026-08-20. Under GOV-F1.16 a citation is stale after twelve months, so re-verify before 2027-08-20 (BKL-006).</t>
        </is>
      </c>
    </row>
    <row r="11" ht="15" customHeight="1">
      <c r="A11" s="4" t="inlineStr">
        <is>
          <t>NOT ADVICE</t>
        </is>
      </c>
      <c r="B11" s="5" t="inlineStr">
        <is>
          <t>This is a decision-support model, not financial, tax or legal advice.</t>
        </is>
      </c>
    </row>
  </sheetData>
  <mergeCells count="2">
    <mergeCell ref="A2:B2"/>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46" customWidth="1" min="1" max="1"/>
    <col width="14" customWidth="1" min="2" max="2"/>
    <col width="12" customWidth="1" min="3" max="3"/>
    <col width="14" customWidth="1" min="4" max="4"/>
    <col width="14" customWidth="1" min="5" max="5"/>
    <col width="62" customWidth="1" min="6" max="6"/>
  </cols>
  <sheetData>
    <row r="1">
      <c r="A1" s="1" t="inlineStr">
        <is>
          <t>Sourced rate inputs</t>
        </is>
      </c>
    </row>
    <row r="2">
      <c r="A2" s="2" t="inlineStr">
        <is>
          <t>BLUE = a hard number taken from a named source. Change one only if you have a better source, and update the Source column when you do.</t>
        </is>
      </c>
    </row>
    <row r="4" ht="28" customHeight="1">
      <c r="A4" s="3" t="inlineStr">
        <is>
          <t>Input</t>
        </is>
      </c>
      <c r="B4" s="3" t="inlineStr">
        <is>
          <t>Value</t>
        </is>
      </c>
      <c r="C4" s="3" t="inlineStr">
        <is>
          <t>Unit</t>
        </is>
      </c>
      <c r="D4" s="3" t="inlineStr">
        <is>
          <t>Source</t>
        </is>
      </c>
      <c r="E4" s="3" t="inlineStr">
        <is>
          <t>Confidence</t>
        </is>
      </c>
      <c r="F4" s="3" t="inlineStr">
        <is>
          <t>Why the confidence is not High</t>
        </is>
      </c>
    </row>
    <row r="5" ht="30" customHeight="1">
      <c r="A5" s="5" t="inlineStr">
        <is>
          <t>NDIS price limit — self-care, weekday daytime (01_011_0107_1_1)</t>
        </is>
      </c>
      <c r="B5" s="6" t="n">
        <v>73.58</v>
      </c>
      <c r="C5" s="7" t="inlineStr">
        <is>
          <t>AUD/hr</t>
        </is>
      </c>
      <c r="D5" s="8" t="inlineStr">
        <is>
          <t>SRC-002</t>
        </is>
      </c>
      <c r="E5" s="8" t="inlineStr">
        <is>
          <t>Medium</t>
        </is>
      </c>
      <c r="F5" s="9" t="inlineStr">
        <is>
          <t>Read from a 65-page PDF through a summarising fetch, not a raw table. RSK-007. BKL-001 closes this.</t>
        </is>
      </c>
    </row>
    <row r="6" ht="30" customHeight="1">
      <c r="A6" s="5" t="inlineStr">
        <is>
          <t>NDIS price limit — community participation, weekday (04_104_0125_6_1)</t>
        </is>
      </c>
      <c r="B6" s="6" t="n">
        <v>73.58</v>
      </c>
      <c r="C6" s="7" t="inlineStr">
        <is>
          <t>AUD/hr</t>
        </is>
      </c>
      <c r="D6" s="8" t="inlineStr">
        <is>
          <t>SRC-004</t>
        </is>
      </c>
      <c r="E6" s="8" t="inlineStr">
        <is>
          <t>Medium</t>
        </is>
      </c>
      <c r="F6" s="9" t="inlineStr">
        <is>
          <t>Same extraction caveat.</t>
        </is>
      </c>
    </row>
    <row r="7" ht="30" customHeight="1">
      <c r="A7" s="5" t="inlineStr">
        <is>
          <t>NDIS price limit — support coordination Level 2 (07_002_0106_8_3)</t>
        </is>
      </c>
      <c r="B7" s="6" t="n">
        <v>100.14</v>
      </c>
      <c r="C7" s="7" t="inlineStr">
        <is>
          <t>AUD/hr</t>
        </is>
      </c>
      <c r="D7" s="8" t="inlineStr">
        <is>
          <t>SRC-005</t>
        </is>
      </c>
      <c r="E7" s="8" t="inlineStr">
        <is>
          <t>Medium</t>
        </is>
      </c>
      <c r="F7" s="9" t="inlineStr">
        <is>
          <t>Same extraction caveat.</t>
        </is>
      </c>
    </row>
    <row r="8" ht="30" customHeight="1">
      <c r="A8" s="5" t="inlineStr">
        <is>
          <t>SCHADS SACS Level 2 casual hourly rate</t>
        </is>
      </c>
      <c r="B8" s="6" t="n">
        <v>45.28</v>
      </c>
      <c r="C8" s="7" t="inlineStr">
        <is>
          <t>AUD/hr</t>
        </is>
      </c>
      <c r="D8" s="8" t="inlineStr">
        <is>
          <t>SRC-009</t>
        </is>
      </c>
      <c r="E8" s="8" t="inlineStr">
        <is>
          <t>Medium</t>
        </is>
      </c>
      <c r="F8" s="9" t="inlineStr">
        <is>
          <t>fairwork.gov.au blocks automated fetching. Two independent payroll calculators agree exactly, but no first-party read was achieved. ISS-001.</t>
        </is>
      </c>
    </row>
    <row r="9" ht="30" customHeight="1">
      <c r="A9" s="5" t="inlineStr">
        <is>
          <t>SCHADS SACS Level 3 casual hourly rate (used for administration)</t>
        </is>
      </c>
      <c r="B9" s="6" t="n">
        <v>50.61</v>
      </c>
      <c r="C9" s="7" t="inlineStr">
        <is>
          <t>AUD/hr</t>
        </is>
      </c>
      <c r="D9" s="8" t="inlineStr">
        <is>
          <t>SRC-009</t>
        </is>
      </c>
      <c r="E9" s="8" t="inlineStr">
        <is>
          <t>Medium</t>
        </is>
      </c>
      <c r="F9" s="9" t="inlineStr">
        <is>
          <t>Same. ISS-001.</t>
        </is>
      </c>
    </row>
    <row r="10" ht="30" customHeight="1">
      <c r="A10" s="5" t="inlineStr">
        <is>
          <t>Superannuation guarantee, FY2026-27</t>
        </is>
      </c>
      <c r="B10" s="10" t="n">
        <v>0.12</v>
      </c>
      <c r="C10" s="7" t="inlineStr">
        <is>
          <t>rate</t>
        </is>
      </c>
      <c r="D10" s="8" t="inlineStr">
        <is>
          <t>SRC-011</t>
        </is>
      </c>
      <c r="E10" s="8" t="inlineStr">
        <is>
          <t>High</t>
        </is>
      </c>
      <c r="F10" s="9" t="inlineStr">
        <is>
          <t>-</t>
        </is>
      </c>
    </row>
    <row r="11" ht="30" customHeight="1">
      <c r="A11" s="5" t="inlineStr">
        <is>
          <t>WorkCover premium, Victorian state average 2026-27</t>
        </is>
      </c>
      <c r="B11" s="10" t="n">
        <v>0.018</v>
      </c>
      <c r="C11" s="7" t="inlineStr">
        <is>
          <t>rate</t>
        </is>
      </c>
      <c r="D11" s="8" t="inlineStr">
        <is>
          <t>SRC-012</t>
        </is>
      </c>
      <c r="E11" s="8" t="inlineStr">
        <is>
          <t>Medium</t>
        </is>
      </c>
      <c r="F11" s="9" t="inlineStr">
        <is>
          <t>State average across all industries. The disability-sector rate sits in a Special Gazette that could not be read. ASM-004.</t>
        </is>
      </c>
    </row>
    <row r="12" ht="30" customHeight="1">
      <c r="A12" s="5" t="inlineStr">
        <is>
          <t>Portable long service leave levy, Victorian community services</t>
        </is>
      </c>
      <c r="B12" s="10" t="n">
        <v>0.0165</v>
      </c>
      <c r="C12" s="7" t="inlineStr">
        <is>
          <t>rate</t>
        </is>
      </c>
      <c r="D12" s="8" t="inlineStr">
        <is>
          <t>SRC-013</t>
        </is>
      </c>
      <c r="E12" s="8" t="inlineStr">
        <is>
          <t>High</t>
        </is>
      </c>
      <c r="F12" s="9" t="inlineStr">
        <is>
          <t>-</t>
        </is>
      </c>
    </row>
    <row r="13" ht="30" customHeight="1">
      <c r="A13" s="5" t="inlineStr">
        <is>
          <t>Payroll tax, Victoria — assumed not payable below threshold</t>
        </is>
      </c>
      <c r="B13" s="10" t="n">
        <v>0</v>
      </c>
      <c r="C13" s="7" t="inlineStr">
        <is>
          <t>rate</t>
        </is>
      </c>
      <c r="D13" s="8" t="inlineStr">
        <is>
          <t>ASM-003</t>
        </is>
      </c>
      <c r="E13" s="8" t="inlineStr">
        <is>
          <t>Medium</t>
        </is>
      </c>
      <c r="F13" s="9" t="inlineStr">
        <is>
          <t>The threshold itself could not be confirmed from a primary source. Set this to 0.0485 to test crossing it.</t>
        </is>
      </c>
    </row>
  </sheetData>
  <mergeCells count="2">
    <mergeCell ref="A2:F2"/>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50" customWidth="1" min="1" max="1"/>
    <col width="14" customWidth="1" min="2" max="2"/>
    <col width="12" customWidth="1" min="3" max="3"/>
    <col width="12" customWidth="1" min="4" max="4"/>
    <col width="12" customWidth="1" min="5" max="5"/>
    <col width="66" customWidth="1" min="6" max="6"/>
  </cols>
  <sheetData>
    <row r="1">
      <c r="A1" s="1" t="inlineStr">
        <is>
          <t>Drivers — these are ASSUMPTIONS, not facts</t>
        </is>
      </c>
    </row>
    <row r="2">
      <c r="A2" s="2" t="inlineStr">
        <is>
          <t>YELLOW cells are the ones to argue with. Each names the ASM-### that states what breaks if it is wrong. Change one and every sheet downstream recomputes.</t>
        </is>
      </c>
    </row>
    <row r="4" ht="28" customHeight="1">
      <c r="A4" s="3" t="inlineStr">
        <is>
          <t>Driver</t>
        </is>
      </c>
      <c r="B4" s="3" t="inlineStr">
        <is>
          <t>Value</t>
        </is>
      </c>
      <c r="C4" s="3" t="inlineStr">
        <is>
          <t>Unit</t>
        </is>
      </c>
      <c r="D4" s="3" t="inlineStr">
        <is>
          <t>ASM</t>
        </is>
      </c>
      <c r="E4" s="3" t="inlineStr">
        <is>
          <t>Confidence</t>
        </is>
      </c>
      <c r="F4" s="3" t="inlineStr">
        <is>
          <t>What happens if this is wrong</t>
        </is>
      </c>
    </row>
    <row r="5" ht="30" customHeight="1">
      <c r="A5" s="5" t="inlineStr">
        <is>
          <t>Administration hours required per billable hour</t>
        </is>
      </c>
      <c r="B5" s="11" t="n">
        <v>0.25</v>
      </c>
      <c r="C5" s="7" t="inlineStr">
        <is>
          <t>hr</t>
        </is>
      </c>
      <c r="D5" s="8" t="inlineStr">
        <is>
          <t>ASM-008</t>
        </is>
      </c>
      <c r="E5" s="8" t="inlineStr">
        <is>
          <t>Low</t>
        </is>
      </c>
      <c r="F5" s="9" t="inlineStr">
        <is>
          <t>The single most important number in this model. At 0.40 the core-supports margin turns NEGATIVE. No published benchmark exists.</t>
        </is>
      </c>
    </row>
    <row r="6" ht="30" customHeight="1">
      <c r="A6" s="5" t="inlineStr">
        <is>
          <t>Payment lag from invoice to cash</t>
        </is>
      </c>
      <c r="B6" s="11" t="n">
        <v>14</v>
      </c>
      <c r="C6" s="7" t="inlineStr">
        <is>
          <t>days</t>
        </is>
      </c>
      <c r="D6" s="8" t="inlineStr">
        <is>
          <t>ASM-007</t>
        </is>
      </c>
      <c r="E6" s="8" t="inlineStr">
        <is>
          <t>Low</t>
        </is>
      </c>
      <c r="F6" s="9" t="inlineStr">
        <is>
          <t>Sets the working capital figure. At 30 days it roughly doubles.</t>
        </is>
      </c>
    </row>
    <row r="7" ht="30" customHeight="1">
      <c r="A7" s="5" t="inlineStr">
        <is>
          <t>Bookkeeping and accounting</t>
        </is>
      </c>
      <c r="B7" s="12" t="n">
        <v>300</v>
      </c>
      <c r="C7" s="7" t="inlineStr">
        <is>
          <t>AUD/mo</t>
        </is>
      </c>
      <c r="D7" s="8" t="inlineStr">
        <is>
          <t>ASM-005</t>
        </is>
      </c>
      <c r="E7" s="8" t="inlineStr">
        <is>
          <t>Low</t>
        </is>
      </c>
      <c r="F7" s="9" t="inlineStr">
        <is>
          <t>No vendor publishes a price. Every $100 of error moves break-even by about five billable hours a month.</t>
        </is>
      </c>
    </row>
    <row r="8" ht="30" customHeight="1">
      <c r="A8" s="5" t="inlineStr">
        <is>
          <t>General operating overhead — phone, internet, memberships, travel</t>
        </is>
      </c>
      <c r="B8" s="12" t="n">
        <v>200</v>
      </c>
      <c r="C8" s="7" t="inlineStr">
        <is>
          <t>AUD/mo</t>
        </is>
      </c>
      <c r="D8" s="8" t="inlineStr">
        <is>
          <t>ASM-014</t>
        </is>
      </c>
      <c r="E8" s="8" t="inlineStr">
        <is>
          <t>Low</t>
        </is>
      </c>
      <c r="F8" s="9" t="inlineStr">
        <is>
          <t>Same sensitivity as bookkeeping.</t>
        </is>
      </c>
    </row>
    <row r="9" ht="30" customHeight="1">
      <c r="A9" s="5" t="inlineStr">
        <is>
          <t>Website and brand, one-off</t>
        </is>
      </c>
      <c r="B9" s="12" t="n">
        <v>2500</v>
      </c>
      <c r="C9" s="7" t="inlineStr">
        <is>
          <t>AUD</t>
        </is>
      </c>
      <c r="D9" s="8" t="inlineStr">
        <is>
          <t>ASM-006</t>
        </is>
      </c>
      <c r="E9" s="8" t="inlineStr">
        <is>
          <t>Low</t>
        </is>
      </c>
      <c r="F9" s="9" t="inlineStr">
        <is>
          <t>The published Australian range is $3,500 to $30,000. A lean single-operator build is assumed.</t>
        </is>
      </c>
    </row>
    <row r="10" ht="30" customHeight="1">
      <c r="A10" s="5" t="inlineStr">
        <is>
          <t>Support coordination billable utilisation</t>
        </is>
      </c>
      <c r="B10" s="13" t="n">
        <v>0.55</v>
      </c>
      <c r="C10" s="7" t="inlineStr">
        <is>
          <t>rate</t>
        </is>
      </c>
      <c r="D10" s="8" t="inlineStr">
        <is>
          <t>ASM-013</t>
        </is>
      </c>
      <c r="E10" s="8" t="inlineStr">
        <is>
          <t>Low</t>
        </is>
      </c>
      <c r="F10" s="9" t="inlineStr">
        <is>
          <t>Drives the entire support coordination result. At 0.35 annual net falls from about $99,000 to about $59,000.</t>
        </is>
      </c>
    </row>
    <row r="11" ht="30" customHeight="1">
      <c r="A11" s="5" t="inlineStr">
        <is>
          <t>Hours available per week if you work the business full time</t>
        </is>
      </c>
      <c r="B11" s="11" t="n">
        <v>38</v>
      </c>
      <c r="C11" s="7" t="inlineStr">
        <is>
          <t>hr</t>
        </is>
      </c>
      <c r="D11" s="8" t="inlineStr">
        <is>
          <t>ASM-011</t>
        </is>
      </c>
      <c r="E11" s="8" t="inlineStr">
        <is>
          <t>Low</t>
        </is>
      </c>
      <c r="F11" s="9" t="inlineStr">
        <is>
          <t>Assumes owner-operator. ACT-001 must confirm this.</t>
        </is>
      </c>
    </row>
    <row r="12" ht="30" customHeight="1">
      <c r="A12" s="5" t="inlineStr">
        <is>
          <t>Support workers screened and trained before the first shift</t>
        </is>
      </c>
      <c r="B12" s="11" t="n">
        <v>3</v>
      </c>
      <c r="C12" s="7" t="inlineStr">
        <is>
          <t>count</t>
        </is>
      </c>
      <c r="D12" s="8" t="inlineStr">
        <is>
          <t>-</t>
        </is>
      </c>
      <c r="E12" s="8" t="inlineStr">
        <is>
          <t>Low</t>
        </is>
      </c>
      <c r="F12" s="9" t="inlineStr">
        <is>
          <t>Scales the per-worker setup cost of about $429 each.</t>
        </is>
      </c>
    </row>
    <row r="13" ht="30" customHeight="1">
      <c r="A13" s="5" t="inlineStr">
        <is>
          <t>Owner drawings per month, base case</t>
        </is>
      </c>
      <c r="B13" s="12" t="n">
        <v>0</v>
      </c>
      <c r="C13" s="7" t="inlineStr">
        <is>
          <t>AUD/mo</t>
        </is>
      </c>
      <c r="D13" s="8" t="inlineStr">
        <is>
          <t>ASM-012</t>
        </is>
      </c>
      <c r="E13" s="8" t="inlineStr">
        <is>
          <t>Low</t>
        </is>
      </c>
      <c r="F13" s="9" t="inlineStr">
        <is>
          <t>Set to zero deliberately. ACT-002 must supply the real number. Every scenario in this model assumes you work for nothing until you change this.</t>
        </is>
      </c>
    </row>
    <row r="14" ht="30" customHeight="1">
      <c r="A14" s="5" t="inlineStr">
        <is>
          <t>Target billable hours per month at steady state</t>
        </is>
      </c>
      <c r="B14" s="11" t="n">
        <v>300</v>
      </c>
      <c r="C14" s="7" t="inlineStr">
        <is>
          <t>hr</t>
        </is>
      </c>
      <c r="D14" s="8" t="inlineStr">
        <is>
          <t>-</t>
        </is>
      </c>
      <c r="E14" s="8" t="inlineStr">
        <is>
          <t>Low</t>
        </is>
      </c>
      <c r="F14" s="9" t="inlineStr">
        <is>
          <t>Used for the working capital calculation. About 4.6 participants at 15 hours a week each.</t>
        </is>
      </c>
    </row>
  </sheetData>
  <mergeCells count="2">
    <mergeCell ref="A2:F2"/>
    <mergeCell ref="A1:F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52" customWidth="1" min="1" max="1"/>
    <col width="14" customWidth="1" min="2" max="2"/>
    <col width="14" customWidth="1" min="3" max="3"/>
    <col width="14" customWidth="1" min="4" max="4"/>
    <col width="12" customWidth="1" min="5" max="5"/>
    <col width="12" customWidth="1" min="6" max="6"/>
    <col width="50" customWidth="1" min="7" max="7"/>
  </cols>
  <sheetData>
    <row r="1">
      <c r="A1" s="1" t="inlineStr">
        <is>
          <t>Cost stack</t>
        </is>
      </c>
    </row>
    <row r="2">
      <c r="A2" s="2" t="inlineStr">
        <is>
          <t>One-off, recurring monthly and recurring annual. Every line names its source. Where no vendor publishes a price, the line names the ASM instead and the confidence is Low.</t>
        </is>
      </c>
    </row>
    <row r="4" ht="28" customHeight="1">
      <c r="A4" s="3" t="inlineStr">
        <is>
          <t>Cost line</t>
        </is>
      </c>
      <c r="B4" s="3" t="inlineStr">
        <is>
          <t>Low</t>
        </is>
      </c>
      <c r="C4" s="3" t="inlineStr">
        <is>
          <t>Base</t>
        </is>
      </c>
      <c r="D4" s="3" t="inlineStr">
        <is>
          <t>High</t>
        </is>
      </c>
      <c r="E4" s="3" t="inlineStr">
        <is>
          <t>Source</t>
        </is>
      </c>
      <c r="F4" s="3" t="inlineStr">
        <is>
          <t>Confidence</t>
        </is>
      </c>
      <c r="G4" s="3" t="inlineStr">
        <is>
          <t>Note</t>
        </is>
      </c>
    </row>
    <row r="5">
      <c r="A5" s="14" t="inlineStr">
        <is>
          <t>ONE-OFF SETUP</t>
        </is>
      </c>
    </row>
    <row r="6" ht="26" customHeight="1">
      <c r="A6" s="5" t="inlineStr">
        <is>
          <t>ASIC Pty Ltd company registration</t>
        </is>
      </c>
      <c r="B6" s="15" t="n">
        <v>636</v>
      </c>
      <c r="C6" s="15" t="n">
        <v>636</v>
      </c>
      <c r="D6" s="15" t="n">
        <v>636</v>
      </c>
      <c r="E6" s="8" t="inlineStr">
        <is>
          <t>SRC-025</t>
        </is>
      </c>
      <c r="F6" s="8" t="inlineStr">
        <is>
          <t>Medium</t>
        </is>
      </c>
      <c r="G6" s="9" t="inlineStr">
        <is>
          <t>Secondary summary of ASIC's fee.</t>
        </is>
      </c>
    </row>
    <row r="7" ht="26" customHeight="1">
      <c r="A7" s="5" t="inlineStr">
        <is>
          <t>ASIC business name, three years</t>
        </is>
      </c>
      <c r="B7" s="15" t="n">
        <v>108</v>
      </c>
      <c r="C7" s="15" t="n">
        <v>108</v>
      </c>
      <c r="D7" s="15" t="n">
        <v>108</v>
      </c>
      <c r="E7" s="8" t="inlineStr">
        <is>
          <t>SRC-027</t>
        </is>
      </c>
      <c r="F7" s="8" t="inlineStr">
        <is>
          <t>Medium</t>
        </is>
      </c>
      <c r="G7" s="9" t="inlineStr">
        <is>
          <t>Secondary summary.</t>
        </is>
      </c>
    </row>
    <row r="8" ht="26" customHeight="1">
      <c r="A8" s="5" t="inlineStr">
        <is>
          <t>ABN, TFN, GST and PAYG registration</t>
        </is>
      </c>
      <c r="B8" s="15" t="n">
        <v>0</v>
      </c>
      <c r="C8" s="15" t="n">
        <v>0</v>
      </c>
      <c r="D8" s="15" t="n">
        <v>0</v>
      </c>
      <c r="E8" s="8" t="inlineStr">
        <is>
          <t>SRC-028</t>
        </is>
      </c>
      <c r="F8" s="8" t="inlineStr">
        <is>
          <t>High</t>
        </is>
      </c>
      <c r="G8" s="9" t="inlineStr">
        <is>
          <t>Free. Instant, or up to 20 business days if referred.</t>
        </is>
      </c>
    </row>
    <row r="9" ht="26" customHeight="1">
      <c r="A9" s="5" t="inlineStr">
        <is>
          <t>myID Strong and RAM setup</t>
        </is>
      </c>
      <c r="B9" s="15" t="n">
        <v>0</v>
      </c>
      <c r="C9" s="15" t="n">
        <v>0</v>
      </c>
      <c r="D9" s="15" t="n">
        <v>0</v>
      </c>
      <c r="E9" s="8" t="inlineStr">
        <is>
          <t>SRC-030</t>
        </is>
      </c>
      <c r="F9" s="8" t="inlineStr">
        <is>
          <t>High</t>
        </is>
      </c>
      <c r="G9" s="9" t="inlineStr">
        <is>
          <t>Free. PRODA closes for Commission portals 30 Sep 2026.</t>
        </is>
      </c>
    </row>
    <row r="10" ht="26" customHeight="1">
      <c r="A10" s="5" t="inlineStr">
        <is>
          <t>Policy and procedure manual, verification pack</t>
        </is>
      </c>
      <c r="B10" s="15" t="n">
        <v>649</v>
      </c>
      <c r="C10" s="15" t="n">
        <v>1080</v>
      </c>
      <c r="D10" s="15" t="n">
        <v>1825</v>
      </c>
      <c r="E10" s="8" t="inlineStr">
        <is>
          <t>SRC-036</t>
        </is>
      </c>
      <c r="F10" s="8" t="inlineStr">
        <is>
          <t>High</t>
        </is>
      </c>
      <c r="G10" s="9" t="inlineStr">
        <is>
          <t>Two vendors publish prices.</t>
        </is>
      </c>
    </row>
    <row r="11" ht="26" customHeight="1">
      <c r="A11" s="5" t="inlineStr">
        <is>
          <t>Verification audit fee</t>
        </is>
      </c>
      <c r="B11" s="15" t="n">
        <v>3500</v>
      </c>
      <c r="C11" s="15" t="n">
        <v>4750</v>
      </c>
      <c r="D11" s="15" t="n">
        <v>6000</v>
      </c>
      <c r="E11" s="8" t="inlineStr">
        <is>
          <t>SRC-034</t>
        </is>
      </c>
      <c r="F11" s="8" t="inlineStr">
        <is>
          <t>Medium</t>
        </is>
      </c>
      <c r="G11" s="9" t="inlineStr">
        <is>
          <t>A consultancy's estimate. NO Approved Quality Auditor publishes a rate card. ACT-007 replaces this with two real quotes.</t>
        </is>
      </c>
    </row>
    <row r="12">
      <c r="A12" s="7" t="inlineStr">
        <is>
          <t>Website and brand (from Drivers)</t>
        </is>
      </c>
      <c r="B12" s="16">
        <f>Drivers!$B$9</f>
        <v/>
      </c>
      <c r="C12" s="16">
        <f>Drivers!$B$9</f>
        <v/>
      </c>
      <c r="D12" s="16">
        <f>Drivers!$B$9</f>
        <v/>
      </c>
      <c r="E12" s="8" t="inlineStr">
        <is>
          <t>ASM-006</t>
        </is>
      </c>
      <c r="F12" s="8" t="inlineStr">
        <is>
          <t>Low</t>
        </is>
      </c>
      <c r="G12" s="9" t="inlineStr">
        <is>
          <t>Published Australian range is $3,500 to $30,000. This model assumes a lean build.</t>
        </is>
      </c>
    </row>
    <row r="13">
      <c r="A13" s="5" t="inlineStr">
        <is>
          <t>Per-worker setup: screening $139.20 + first aid and CPR $290</t>
        </is>
      </c>
      <c r="B13" s="16">
        <f>(139.2+290)*(Drivers!$B$12+1)</f>
        <v/>
      </c>
      <c r="C13" s="16">
        <f>(139.2+290)*(Drivers!$B$12+1)</f>
        <v/>
      </c>
      <c r="D13" s="16">
        <f>(139.2+290)*(Drivers!$B$12+1)</f>
        <v/>
      </c>
      <c r="E13" s="8" t="inlineStr">
        <is>
          <t>SRC-031, SRC-041</t>
        </is>
      </c>
      <c r="F13" s="8" t="inlineStr">
        <is>
          <t>High</t>
        </is>
      </c>
      <c r="G13" s="9" t="inlineStr">
        <is>
          <t>Scales with the worker count in Drivers, plus you. Orientation module is free (SRC-042).</t>
        </is>
      </c>
    </row>
    <row r="14">
      <c r="A14" s="14" t="inlineStr">
        <is>
          <t>TOTAL ONE-OFF SETUP</t>
        </is>
      </c>
      <c r="B14" s="17">
        <f>SUM(B6:B13)</f>
        <v/>
      </c>
      <c r="C14" s="17">
        <f>SUM(C6:C13)</f>
        <v/>
      </c>
      <c r="D14" s="17">
        <f>SUM(D6:D13)</f>
        <v/>
      </c>
      <c r="E14" s="18" t="inlineStr"/>
      <c r="F14" s="18" t="inlineStr"/>
      <c r="G14" s="18" t="inlineStr"/>
    </row>
    <row r="16">
      <c r="A16" s="14" t="inlineStr">
        <is>
          <t>RECURRING MONTHLY</t>
        </is>
      </c>
    </row>
    <row r="17">
      <c r="A17" s="5" t="inlineStr">
        <is>
          <t>CRM and rostering (ShiftCare Essentials, 5-staff minimum)</t>
        </is>
      </c>
      <c r="B17" s="15" t="n">
        <v>45</v>
      </c>
      <c r="C17" s="15" t="n">
        <v>45</v>
      </c>
      <c r="D17" s="15" t="n">
        <v>125</v>
      </c>
      <c r="E17" s="8" t="inlineStr">
        <is>
          <t>SRC-037</t>
        </is>
      </c>
      <c r="F17" s="8" t="inlineStr">
        <is>
          <t>High</t>
        </is>
      </c>
      <c r="G17" s="9" t="inlineStr">
        <is>
          <t>Vendor's published pricing.</t>
        </is>
      </c>
    </row>
    <row r="18">
      <c r="A18" s="5" t="inlineStr">
        <is>
          <t>Accounting and payroll (Xero)</t>
        </is>
      </c>
      <c r="B18" s="15" t="n">
        <v>78</v>
      </c>
      <c r="C18" s="15" t="n">
        <v>78</v>
      </c>
      <c r="D18" s="15" t="n">
        <v>143</v>
      </c>
      <c r="E18" s="8" t="inlineStr">
        <is>
          <t>SRC-038</t>
        </is>
      </c>
      <c r="F18" s="8" t="inlineStr">
        <is>
          <t>High</t>
        </is>
      </c>
      <c r="G18" s="9" t="inlineStr">
        <is>
          <t>Vendor's published pricing.</t>
        </is>
      </c>
    </row>
    <row r="19" ht="26" customHeight="1">
      <c r="A19" s="5" t="inlineStr">
        <is>
          <t>Bookkeeping  (base cell is the Drivers value)</t>
        </is>
      </c>
      <c r="B19" s="15" t="n">
        <v>200</v>
      </c>
      <c r="C19" s="16">
        <f>Drivers!$B$7</f>
        <v/>
      </c>
      <c r="D19" s="15" t="n">
        <v>500</v>
      </c>
      <c r="E19" s="8" t="inlineStr">
        <is>
          <t>ASM-005</t>
        </is>
      </c>
      <c r="F19" s="8" t="inlineStr">
        <is>
          <t>Low</t>
        </is>
      </c>
      <c r="G19" s="9" t="inlineStr">
        <is>
          <t>No vendor publishes a price. Low and high are the plausible band; the base column is wired to the Drivers sheet so changing the driver moves the base case.</t>
        </is>
      </c>
    </row>
    <row r="20" ht="26" customHeight="1">
      <c r="A20" s="5" t="inlineStr">
        <is>
          <t>General operating overhead  (base cell is the Drivers value)</t>
        </is>
      </c>
      <c r="B20" s="15" t="n">
        <v>150</v>
      </c>
      <c r="C20" s="16">
        <f>Drivers!$B$8</f>
        <v/>
      </c>
      <c r="D20" s="15" t="n">
        <v>350</v>
      </c>
      <c r="E20" s="8" t="inlineStr">
        <is>
          <t>ASM-014</t>
        </is>
      </c>
      <c r="F20" s="8" t="inlineStr">
        <is>
          <t>Low</t>
        </is>
      </c>
      <c r="G20" s="9" t="inlineStr">
        <is>
          <t>No vendor publishes a price. Same structure: low and high bound it, the driver sets the base.</t>
        </is>
      </c>
    </row>
    <row r="21">
      <c r="A21" s="14" t="inlineStr">
        <is>
          <t>SUBTOTAL MONTHLY</t>
        </is>
      </c>
      <c r="B21" s="17">
        <f>SUM(B17:B20)</f>
        <v/>
      </c>
      <c r="C21" s="17">
        <f>SUM(C17:C20)</f>
        <v/>
      </c>
      <c r="D21" s="17">
        <f>SUM(D17:D20)</f>
        <v/>
      </c>
      <c r="E21" s="18" t="inlineStr"/>
      <c r="F21" s="18" t="inlineStr"/>
      <c r="G21" s="18" t="inlineStr"/>
    </row>
    <row r="23">
      <c r="A23" s="14" t="inlineStr">
        <is>
          <t>RECURRING ANNUAL</t>
        </is>
      </c>
    </row>
    <row r="24" ht="26" customHeight="1">
      <c r="A24" s="5" t="inlineStr">
        <is>
          <t>ASIC company annual review</t>
        </is>
      </c>
      <c r="B24" s="15" t="n">
        <v>342</v>
      </c>
      <c r="C24" s="15" t="n">
        <v>342</v>
      </c>
      <c r="D24" s="15" t="n">
        <v>342</v>
      </c>
      <c r="E24" s="8" t="inlineStr">
        <is>
          <t>SRC-026</t>
        </is>
      </c>
      <c r="F24" s="8" t="inlineStr">
        <is>
          <t>Medium</t>
        </is>
      </c>
      <c r="G24" s="9" t="inlineStr">
        <is>
          <t>Secondary summary of ASIC's fee.</t>
        </is>
      </c>
    </row>
    <row r="25" ht="26" customHeight="1">
      <c r="A25" s="5" t="inlineStr">
        <is>
          <t>Insurance: public liability, professional indemnity, personal accident</t>
        </is>
      </c>
      <c r="B25" s="15" t="n">
        <v>1200</v>
      </c>
      <c r="C25" s="15" t="n">
        <v>2350</v>
      </c>
      <c r="D25" s="15" t="n">
        <v>3500</v>
      </c>
      <c r="E25" s="8" t="inlineStr">
        <is>
          <t>SRC-040</t>
        </is>
      </c>
      <c r="F25" s="8" t="inlineStr">
        <is>
          <t>Low</t>
        </is>
      </c>
      <c r="G25" s="9" t="inlineStr">
        <is>
          <t>One broker's marketing page, no named underwriter. Management liability has NO published price anywhere. ACT-008.</t>
        </is>
      </c>
    </row>
    <row r="26">
      <c r="A26" s="14" t="inlineStr">
        <is>
          <t>SUBTOTAL ANNUAL</t>
        </is>
      </c>
      <c r="B26" s="17">
        <f>SUM(B24:B25)</f>
        <v/>
      </c>
      <c r="C26" s="17">
        <f>SUM(C24:C25)</f>
        <v/>
      </c>
      <c r="D26" s="17">
        <f>SUM(D24:D25)</f>
        <v/>
      </c>
      <c r="E26" s="18" t="inlineStr"/>
      <c r="F26" s="18" t="inlineStr"/>
      <c r="G26" s="18" t="inlineStr"/>
    </row>
    <row r="28">
      <c r="A28" s="14" t="inlineStr">
        <is>
          <t>TOTAL FIXED COST PER MONTH  (monthly subtotal + annual subtotal / 12)</t>
        </is>
      </c>
      <c r="B28" s="19">
        <f>B21+B26/12</f>
        <v/>
      </c>
      <c r="C28" s="19">
        <f>C21+C26/12</f>
        <v/>
      </c>
      <c r="D28" s="19">
        <f>D21+D26/12</f>
        <v/>
      </c>
      <c r="E28" s="18" t="inlineStr"/>
      <c r="F28" s="18" t="inlineStr"/>
      <c r="G28" s="18" t="inlineStr"/>
    </row>
    <row r="30">
      <c r="A30" s="20" t="inlineStr">
        <is>
          <t>NOT INCLUDED — no published price could be found for any of these</t>
        </is>
      </c>
      <c r="B30" s="21" t="n"/>
      <c r="C30" s="21" t="n"/>
      <c r="D30" s="21" t="n"/>
      <c r="E30" s="21" t="n"/>
      <c r="F30" s="21" t="n"/>
      <c r="G30" s="22" t="n"/>
    </row>
    <row r="31">
      <c r="A31" s="9" t="inlineStr">
        <is>
          <t xml:space="preserve">  .  NDIS Commission's own application or certificate fee, if one exists — ACT-006 resolves this</t>
        </is>
      </c>
      <c r="B31" s="21" t="n"/>
      <c r="C31" s="21" t="n"/>
      <c r="D31" s="21" t="n"/>
      <c r="E31" s="21" t="n"/>
      <c r="F31" s="21" t="n"/>
      <c r="G31" s="22" t="n"/>
    </row>
    <row r="32">
      <c r="A32" s="9" t="inlineStr">
        <is>
          <t xml:space="preserve">  .  Management liability insurance — no published figure exists for a small Australian disability business</t>
        </is>
      </c>
      <c r="B32" s="21" t="n"/>
      <c r="C32" s="21" t="n"/>
      <c r="D32" s="21" t="n"/>
      <c r="E32" s="21" t="n"/>
      <c r="F32" s="21" t="n"/>
      <c r="G32" s="22" t="n"/>
    </row>
    <row r="33">
      <c r="A33" s="9" t="inlineStr">
        <is>
          <t xml:space="preserve">  .  Mid-term surveillance audit at about 18 months, estimated at 60-70% of the initial audit fee (SRC-034)</t>
        </is>
      </c>
      <c r="B33" s="21" t="n"/>
      <c r="C33" s="21" t="n"/>
      <c r="D33" s="21" t="n"/>
      <c r="E33" s="21" t="n"/>
      <c r="F33" s="21" t="n"/>
      <c r="G33" s="22" t="n"/>
    </row>
    <row r="34">
      <c r="A34" s="9" t="inlineStr">
        <is>
          <t xml:space="preserve">  .  Payroll tax, if the business crosses the Victorian threshold (ASM-003)</t>
        </is>
      </c>
      <c r="B34" s="21" t="n"/>
      <c r="C34" s="21" t="n"/>
      <c r="D34" s="21" t="n"/>
      <c r="E34" s="21" t="n"/>
      <c r="F34" s="21" t="n"/>
      <c r="G34" s="22" t="n"/>
    </row>
    <row r="35">
      <c r="A35" s="9" t="inlineStr">
        <is>
          <t xml:space="preserve">  .  Income tax, GST remittance, and any consultant engaged to run the registration</t>
        </is>
      </c>
      <c r="B35" s="21" t="n"/>
      <c r="C35" s="21" t="n"/>
      <c r="D35" s="21" t="n"/>
      <c r="E35" s="21" t="n"/>
      <c r="F35" s="21" t="n"/>
      <c r="G35" s="22" t="n"/>
    </row>
  </sheetData>
  <mergeCells count="8">
    <mergeCell ref="A32:G32"/>
    <mergeCell ref="A1:G1"/>
    <mergeCell ref="A31:G31"/>
    <mergeCell ref="A34:G34"/>
    <mergeCell ref="A35:G35"/>
    <mergeCell ref="A30:G30"/>
    <mergeCell ref="A2:G2"/>
    <mergeCell ref="A33:G3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56" customWidth="1" min="1" max="1"/>
    <col width="16" customWidth="1" min="2" max="2"/>
    <col width="14" customWidth="1" min="3" max="3"/>
    <col width="66" customWidth="1" min="4" max="4"/>
  </cols>
  <sheetData>
    <row r="1">
      <c r="A1" s="1" t="inlineStr">
        <is>
          <t>Unit economics — one billable hour of core support</t>
        </is>
      </c>
    </row>
    <row r="2">
      <c r="A2" s="2" t="inlineStr">
        <is>
          <t>This is the whole business in eight rows. Read the last two together.</t>
        </is>
      </c>
    </row>
    <row r="4" ht="28" customHeight="1">
      <c r="A4" s="3" t="inlineStr">
        <is>
          <t>Line</t>
        </is>
      </c>
      <c r="B4" s="3" t="inlineStr">
        <is>
          <t>AUD per hour</t>
        </is>
      </c>
      <c r="C4" s="3" t="inlineStr">
        <is>
          <t>% of price</t>
        </is>
      </c>
      <c r="D4" s="3" t="inlineStr">
        <is>
          <t>What it means</t>
        </is>
      </c>
    </row>
    <row r="5" ht="26" customHeight="1">
      <c r="A5" s="5" t="inlineStr">
        <is>
          <t>NDIS price limit, weekday daytime</t>
        </is>
      </c>
      <c r="B5" s="23">
        <f>Inputs!$B$5</f>
        <v/>
      </c>
      <c r="C5" s="24">
        <f>B5/Inputs!$B$5</f>
        <v/>
      </c>
      <c r="D5" s="9" t="inlineStr">
        <is>
          <t>SRC-002 — The most you may charge for one hour. It is a ceiling, not a target.</t>
        </is>
      </c>
    </row>
    <row r="6" ht="26" customHeight="1">
      <c r="A6" s="5" t="inlineStr">
        <is>
          <t>Casual support worker wage, SACS Level 2</t>
        </is>
      </c>
      <c r="B6" s="23">
        <f>-Inputs!$B$8</f>
        <v/>
      </c>
      <c r="C6" s="24">
        <f>B6/Inputs!$B$5</f>
        <v/>
      </c>
      <c r="D6" s="9" t="inlineStr">
        <is>
          <t>SRC-009 — Includes the 25% casual loading paid in lieu of leave.</t>
        </is>
      </c>
    </row>
    <row r="7" ht="26" customHeight="1">
      <c r="A7" s="5" t="inlineStr">
        <is>
          <t>Superannuation</t>
        </is>
      </c>
      <c r="B7" s="23">
        <f>-Inputs!$B$8*Inputs!$B$10</f>
        <v/>
      </c>
      <c r="C7" s="24">
        <f>B7/Inputs!$B$5</f>
        <v/>
      </c>
      <c r="D7" s="9" t="inlineStr">
        <is>
          <t>SRC-011 — 12.00% for FY2026-27.</t>
        </is>
      </c>
    </row>
    <row r="8" ht="26" customHeight="1">
      <c r="A8" s="5" t="inlineStr">
        <is>
          <t>WorkCover premium</t>
        </is>
      </c>
      <c r="B8" s="23">
        <f>-Inputs!$B$8*Inputs!$B$11</f>
        <v/>
      </c>
      <c r="C8" s="24">
        <f>B8/Inputs!$B$5</f>
        <v/>
      </c>
      <c r="D8" s="9" t="inlineStr">
        <is>
          <t>SRC-012 — Victorian state average. The sector rate may be higher.</t>
        </is>
      </c>
    </row>
    <row r="9" ht="26" customHeight="1">
      <c r="A9" s="5" t="inlineStr">
        <is>
          <t>Portable long service leave levy</t>
        </is>
      </c>
      <c r="B9" s="23">
        <f>-Inputs!$B$8*Inputs!$B$12</f>
        <v/>
      </c>
      <c r="C9" s="24">
        <f>B9/Inputs!$B$5</f>
        <v/>
      </c>
      <c r="D9" s="9" t="inlineStr">
        <is>
          <t>SRC-013 — 1.65%. Victoria-specific, covers NDIS-funded work, and it is the on-cost most often forgotten.</t>
        </is>
      </c>
    </row>
    <row r="10" ht="26" customHeight="1">
      <c r="A10" s="5" t="inlineStr">
        <is>
          <t>Payroll tax</t>
        </is>
      </c>
      <c r="B10" s="23">
        <f>-Inputs!$B$8*Inputs!$B$13</f>
        <v/>
      </c>
      <c r="C10" s="24">
        <f>B10/Inputs!$B$5</f>
        <v/>
      </c>
      <c r="D10" s="9" t="inlineStr">
        <is>
          <t>ASM-003 — Zero while below the Victorian threshold.</t>
        </is>
      </c>
    </row>
    <row r="11">
      <c r="A11" s="14" t="inlineStr">
        <is>
          <t>GROSS MARGIN PER BILLABLE HOUR</t>
        </is>
      </c>
      <c r="B11" s="19">
        <f>SUM(B5:B10)</f>
        <v/>
      </c>
      <c r="C11" s="25">
        <f>B11/Inputs!$B$5</f>
        <v/>
      </c>
      <c r="D11" s="26" t="inlineStr">
        <is>
          <t>Before ANY overhead. This is not profit.</t>
        </is>
      </c>
    </row>
    <row r="13">
      <c r="A13" s="5" t="inlineStr">
        <is>
          <t>Administration, if you pay someone to do it</t>
        </is>
      </c>
      <c r="B13" s="23">
        <f>-Inputs!$B$9*(1+Inputs!$B$10+Inputs!$B$11+Inputs!$B$12+Inputs!$B$13)*Drivers!$B$5</f>
        <v/>
      </c>
      <c r="C13" s="24">
        <f>B13/Inputs!$B$5</f>
        <v/>
      </c>
      <c r="D13" s="9" t="inlineStr">
        <is>
          <t>A coordinator at SACS Level 3, fully loaded, for 0.25 of an hour per billable hour (ASM-008).</t>
        </is>
      </c>
    </row>
    <row r="14" ht="30" customHeight="1">
      <c r="A14" s="14" t="inlineStr">
        <is>
          <t>CONTRIBUTION IF ADMINISTRATION IS PAID</t>
        </is>
      </c>
      <c r="B14" s="19">
        <f>B11+B13</f>
        <v/>
      </c>
      <c r="C14" s="25">
        <f>B14/Inputs!$B$5</f>
        <v/>
      </c>
      <c r="D14" s="26" t="inlineStr">
        <is>
          <t>READ THIS ROW FIRST. If it is small or negative, the business only works while you do the administration yourself for nothing.</t>
        </is>
      </c>
    </row>
    <row r="16">
      <c r="A16" s="14" t="inlineStr">
        <is>
          <t>CONTRIBUTION IF YOU DO THE ADMINISTRATION</t>
        </is>
      </c>
      <c r="B16" s="19">
        <f>B11</f>
        <v/>
      </c>
      <c r="C16" s="25">
        <f>B16/Inputs!$B$5</f>
        <v/>
      </c>
      <c r="D16" s="26" t="inlineStr">
        <is>
          <t>Costs no cash, but caps how many participants one person can carry.</t>
        </is>
      </c>
    </row>
    <row r="18" ht="44" customHeight="1">
      <c r="A18" s="20" t="inlineStr">
        <is>
          <t>Sector reality check: National Disability Services reported about half of NDIS providers were loss-making in 2024-25 and 81% said current pricing is unsustainable (SRC-046). The rows above are the arithmetic behind that finding. The price is not the problem; the administration load is.</t>
        </is>
      </c>
      <c r="B18" s="21" t="n"/>
      <c r="C18" s="21" t="n"/>
      <c r="D18" s="22" t="n"/>
    </row>
  </sheetData>
  <mergeCells count="3">
    <mergeCell ref="A1:D1"/>
    <mergeCell ref="A18:D18"/>
    <mergeCell ref="A2:D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8" customWidth="1" min="1" max="1"/>
    <col width="18" customWidth="1" min="2" max="2"/>
    <col width="66" customWidth="1" min="3" max="3"/>
  </cols>
  <sheetData>
    <row r="1">
      <c r="A1" s="1" t="inlineStr">
        <is>
          <t>Break-even and working capital</t>
        </is>
      </c>
    </row>
    <row r="2">
      <c r="A2" s="2" t="inlineStr">
        <is>
          <t>Break-even is fixed cost divided by contribution per hour. Working capital is the cash that must sit behind the wage cycle permanently.</t>
        </is>
      </c>
    </row>
    <row r="4" ht="28" customHeight="1">
      <c r="A4" s="3" t="inlineStr">
        <is>
          <t>Measure</t>
        </is>
      </c>
      <c r="B4" s="3" t="inlineStr">
        <is>
          <t>Value</t>
        </is>
      </c>
      <c r="C4" s="3" t="inlineStr">
        <is>
          <t>How it is calculated and what it means</t>
        </is>
      </c>
    </row>
    <row r="5" ht="30" customHeight="1">
      <c r="A5" s="5" t="inlineStr">
        <is>
          <t>Fixed cost per month (base case)</t>
        </is>
      </c>
      <c r="B5" s="23">
        <f>Costs!$C$28</f>
        <v/>
      </c>
      <c r="C5" s="9" t="inlineStr">
        <is>
          <t>From the Costs sheet: monthly subtotal plus one twelfth of the annual subtotal.</t>
        </is>
      </c>
    </row>
    <row r="6" ht="30" customHeight="1">
      <c r="A6" s="5" t="inlineStr">
        <is>
          <t>Break-even billable hours per month — you do the administration</t>
        </is>
      </c>
      <c r="B6" s="27">
        <f>Costs!$C$28/UnitEconomics!$B$16</f>
        <v/>
      </c>
      <c r="C6" s="9" t="inlineStr">
        <is>
          <t>Fixed cost divided by contribution. About 0.6 of one participant using 15 hours a week.</t>
        </is>
      </c>
    </row>
    <row r="7" ht="30" customHeight="1">
      <c r="A7" s="5" t="inlineStr">
        <is>
          <t>Break-even billable hours per month — administration is paid</t>
        </is>
      </c>
      <c r="B7" s="27">
        <f>Costs!$C$28/UnitEconomics!$B$14</f>
        <v/>
      </c>
      <c r="C7" s="9" t="inlineStr">
        <is>
          <t>The same fixed cost against a much thinner contribution. About two participants.</t>
        </is>
      </c>
    </row>
    <row r="8" ht="30" customHeight="1">
      <c r="A8" s="5" t="inlineStr">
        <is>
          <t>Billable hours to draw $5,000 a month — you do the administration</t>
        </is>
      </c>
      <c r="B8" s="27">
        <f>(Costs!$C$28+5000)/UnitEconomics!$B$16</f>
        <v/>
      </c>
      <c r="C8" s="9" t="inlineStr">
        <is>
          <t>About four participants at 15 hours a week, and roughly four to six support workers to deliver it.</t>
        </is>
      </c>
    </row>
    <row r="9" ht="30" customHeight="1">
      <c r="A9" s="5" t="inlineStr">
        <is>
          <t>Billable hours to draw $5,000 a month — administration is paid</t>
        </is>
      </c>
      <c r="B9" s="27">
        <f>(Costs!$C$28+5000)/UnitEconomics!$B$14</f>
        <v/>
      </c>
      <c r="C9" s="9" t="inlineStr">
        <is>
          <t>If this number looks impossible for a new business, that is the finding.</t>
        </is>
      </c>
    </row>
    <row r="10" ht="30" customHeight="1">
      <c r="A10" s="5" t="inlineStr">
        <is>
          <t>Target billable hours per month (from Drivers)</t>
        </is>
      </c>
      <c r="B10" s="27">
        <f>Drivers!$B$14</f>
        <v/>
      </c>
      <c r="C10" s="9" t="inlineStr">
        <is>
          <t>About 4.6 participants at 15 hours a week.</t>
        </is>
      </c>
    </row>
    <row r="11" ht="30" customHeight="1">
      <c r="A11" s="5" t="inlineStr">
        <is>
          <t>Monthly wage bill at target volume</t>
        </is>
      </c>
      <c r="B11" s="23">
        <f>Drivers!$B$14*(Inputs!$B$8*(1+Inputs!$B$10+Inputs!$B$11+Inputs!$B$12+Inputs!$B$13))</f>
        <v/>
      </c>
      <c r="C11" s="9" t="inlineStr">
        <is>
          <t>Fully loaded. This leaves your account before any invoice is paid.</t>
        </is>
      </c>
    </row>
    <row r="12" ht="30" customHeight="1">
      <c r="A12" s="4" t="inlineStr">
        <is>
          <t>WORKING CAPITAL REQUIRED at the assumed payment lag</t>
        </is>
      </c>
      <c r="B12" s="19">
        <f>Drivers!$B$14*(Inputs!$B$8*(1+Inputs!$B$10+Inputs!$B$11+Inputs!$B$12+Inputs!$B$13))*(Drivers!$B$6/30)</f>
        <v/>
      </c>
      <c r="C12" s="9" t="inlineStr">
        <is>
          <t>Wages multiplied by the payment lag as a fraction of a month. Ring-fence this. It is SEPARATE from setup capital and it grows every time you win a participant.</t>
        </is>
      </c>
    </row>
    <row r="13" ht="30" customHeight="1">
      <c r="A13" s="5" t="inlineStr">
        <is>
          <t>Working capital at a 30-day lag instead</t>
        </is>
      </c>
      <c r="B13" s="23">
        <f>Drivers!$B$14*(Inputs!$B$8*(1+Inputs!$B$10+Inputs!$B$11+Inputs!$B$12+Inputs!$B$13))</f>
        <v/>
      </c>
      <c r="C13" s="9" t="inlineStr">
        <is>
          <t>The prior working files omitted working capital entirely (DEF-001). This is the line that omission hid.</t>
        </is>
      </c>
    </row>
  </sheetData>
  <mergeCells count="2">
    <mergeCell ref="A1:C1"/>
    <mergeCell ref="A2:C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48"/>
  <sheetViews>
    <sheetView workbookViewId="0">
      <selection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4" customWidth="1" min="14" max="14"/>
  </cols>
  <sheetData>
    <row r="1">
      <c r="A1" s="1" t="inlineStr">
        <is>
          <t>Twelve-month cash, three scenarios</t>
        </is>
      </c>
    </row>
    <row r="2">
      <c r="A2" s="2" t="inlineStr">
        <is>
          <t>All three assume you draw the amount set in Drivers (currently zero). Change that driver and every scenario recomputes.</t>
        </is>
      </c>
    </row>
    <row r="4">
      <c r="A4" s="14" t="inlineStr">
        <is>
          <t>BASE: first client month 4, you do the administration</t>
        </is>
      </c>
      <c r="B4" s="21" t="n"/>
      <c r="C4" s="21" t="n"/>
      <c r="D4" s="21" t="n"/>
      <c r="E4" s="21" t="n"/>
      <c r="F4" s="21" t="n"/>
      <c r="G4" s="21" t="n"/>
      <c r="H4" s="21" t="n"/>
      <c r="I4" s="21" t="n"/>
      <c r="J4" s="21" t="n"/>
      <c r="K4" s="21" t="n"/>
      <c r="L4" s="21" t="n"/>
      <c r="M4" s="21" t="n"/>
      <c r="N4" s="22" t="n"/>
    </row>
    <row r="5" ht="28" customHeight="1">
      <c r="A5" s="3" t="inlineStr">
        <is>
          <t>Month</t>
        </is>
      </c>
      <c r="B5" s="3" t="inlineStr">
        <is>
          <t>1</t>
        </is>
      </c>
      <c r="C5" s="3" t="inlineStr">
        <is>
          <t>2</t>
        </is>
      </c>
      <c r="D5" s="3" t="inlineStr">
        <is>
          <t>3</t>
        </is>
      </c>
      <c r="E5" s="3" t="inlineStr">
        <is>
          <t>4</t>
        </is>
      </c>
      <c r="F5" s="3" t="inlineStr">
        <is>
          <t>5</t>
        </is>
      </c>
      <c r="G5" s="3" t="inlineStr">
        <is>
          <t>6</t>
        </is>
      </c>
      <c r="H5" s="3" t="inlineStr">
        <is>
          <t>7</t>
        </is>
      </c>
      <c r="I5" s="3" t="inlineStr">
        <is>
          <t>8</t>
        </is>
      </c>
      <c r="J5" s="3" t="inlineStr">
        <is>
          <t>9</t>
        </is>
      </c>
      <c r="K5" s="3" t="inlineStr">
        <is>
          <t>10</t>
        </is>
      </c>
      <c r="L5" s="3" t="inlineStr">
        <is>
          <t>11</t>
        </is>
      </c>
      <c r="M5" s="3" t="inlineStr">
        <is>
          <t>12</t>
        </is>
      </c>
      <c r="N5" s="3" t="inlineStr">
        <is>
          <t>Year 1</t>
        </is>
      </c>
    </row>
    <row r="6">
      <c r="A6" s="7" t="inlineStr">
        <is>
          <t>Billable hours</t>
        </is>
      </c>
      <c r="B6" s="28" t="n">
        <v>0</v>
      </c>
      <c r="C6" s="28" t="n">
        <v>0</v>
      </c>
      <c r="D6" s="28" t="n">
        <v>0</v>
      </c>
      <c r="E6" s="28" t="n">
        <v>40</v>
      </c>
      <c r="F6" s="28" t="n">
        <v>80</v>
      </c>
      <c r="G6" s="28" t="n">
        <v>130</v>
      </c>
      <c r="H6" s="28" t="n">
        <v>180</v>
      </c>
      <c r="I6" s="28" t="n">
        <v>230</v>
      </c>
      <c r="J6" s="28" t="n">
        <v>280</v>
      </c>
      <c r="K6" s="28" t="n">
        <v>320</v>
      </c>
      <c r="L6" s="28" t="n">
        <v>350</v>
      </c>
      <c r="M6" s="28" t="n">
        <v>380</v>
      </c>
      <c r="N6" s="29">
        <f>SUM(B6:M6)</f>
        <v/>
      </c>
    </row>
    <row r="7">
      <c r="A7" s="7" t="inlineStr">
        <is>
          <t>Revenue</t>
        </is>
      </c>
      <c r="B7" s="16">
        <f>B6*Inputs!$B$5</f>
        <v/>
      </c>
      <c r="C7" s="16">
        <f>C6*Inputs!$B$5</f>
        <v/>
      </c>
      <c r="D7" s="16">
        <f>D6*Inputs!$B$5</f>
        <v/>
      </c>
      <c r="E7" s="16">
        <f>E6*Inputs!$B$5</f>
        <v/>
      </c>
      <c r="F7" s="16">
        <f>F6*Inputs!$B$5</f>
        <v/>
      </c>
      <c r="G7" s="16">
        <f>G6*Inputs!$B$5</f>
        <v/>
      </c>
      <c r="H7" s="16">
        <f>H6*Inputs!$B$5</f>
        <v/>
      </c>
      <c r="I7" s="16">
        <f>I6*Inputs!$B$5</f>
        <v/>
      </c>
      <c r="J7" s="16">
        <f>J6*Inputs!$B$5</f>
        <v/>
      </c>
      <c r="K7" s="16">
        <f>K6*Inputs!$B$5</f>
        <v/>
      </c>
      <c r="L7" s="16">
        <f>L6*Inputs!$B$5</f>
        <v/>
      </c>
      <c r="M7" s="16">
        <f>M6*Inputs!$B$5</f>
        <v/>
      </c>
      <c r="N7" s="30">
        <f>SUM(B7:M7)</f>
        <v/>
      </c>
    </row>
    <row r="8">
      <c r="A8" s="7" t="inlineStr">
        <is>
          <t>Contribution</t>
        </is>
      </c>
      <c r="B8" s="16">
        <f>B6*UnitEconomics!$B$16</f>
        <v/>
      </c>
      <c r="C8" s="16">
        <f>C6*UnitEconomics!$B$16</f>
        <v/>
      </c>
      <c r="D8" s="16">
        <f>D6*UnitEconomics!$B$16</f>
        <v/>
      </c>
      <c r="E8" s="16">
        <f>E6*UnitEconomics!$B$16</f>
        <v/>
      </c>
      <c r="F8" s="16">
        <f>F6*UnitEconomics!$B$16</f>
        <v/>
      </c>
      <c r="G8" s="16">
        <f>G6*UnitEconomics!$B$16</f>
        <v/>
      </c>
      <c r="H8" s="16">
        <f>H6*UnitEconomics!$B$16</f>
        <v/>
      </c>
      <c r="I8" s="16">
        <f>I6*UnitEconomics!$B$16</f>
        <v/>
      </c>
      <c r="J8" s="16">
        <f>J6*UnitEconomics!$B$16</f>
        <v/>
      </c>
      <c r="K8" s="16">
        <f>K6*UnitEconomics!$B$16</f>
        <v/>
      </c>
      <c r="L8" s="16">
        <f>L6*UnitEconomics!$B$16</f>
        <v/>
      </c>
      <c r="M8" s="16">
        <f>M6*UnitEconomics!$B$16</f>
        <v/>
      </c>
      <c r="N8" s="30">
        <f>SUM(B8:M8)</f>
        <v/>
      </c>
    </row>
    <row r="9">
      <c r="A9" s="7" t="inlineStr">
        <is>
          <t>Fixed costs</t>
        </is>
      </c>
      <c r="B9" s="16">
        <f>-Costs!$C$28</f>
        <v/>
      </c>
      <c r="C9" s="16">
        <f>-Costs!$C$28</f>
        <v/>
      </c>
      <c r="D9" s="16">
        <f>-Costs!$C$28</f>
        <v/>
      </c>
      <c r="E9" s="16">
        <f>-Costs!$C$28</f>
        <v/>
      </c>
      <c r="F9" s="16">
        <f>-Costs!$C$28</f>
        <v/>
      </c>
      <c r="G9" s="16">
        <f>-Costs!$C$28</f>
        <v/>
      </c>
      <c r="H9" s="16">
        <f>-Costs!$C$28</f>
        <v/>
      </c>
      <c r="I9" s="16">
        <f>-Costs!$C$28</f>
        <v/>
      </c>
      <c r="J9" s="16">
        <f>-Costs!$C$28</f>
        <v/>
      </c>
      <c r="K9" s="16">
        <f>-Costs!$C$28</f>
        <v/>
      </c>
      <c r="L9" s="16">
        <f>-Costs!$C$28</f>
        <v/>
      </c>
      <c r="M9" s="16">
        <f>-Costs!$C$28</f>
        <v/>
      </c>
      <c r="N9" s="30">
        <f>SUM(B9:M9)</f>
        <v/>
      </c>
    </row>
    <row r="10">
      <c r="A10" s="7" t="inlineStr">
        <is>
          <t>Owner drawings</t>
        </is>
      </c>
      <c r="B10" s="16">
        <f>-Drivers!$B$13</f>
        <v/>
      </c>
      <c r="C10" s="16">
        <f>-Drivers!$B$13</f>
        <v/>
      </c>
      <c r="D10" s="16">
        <f>-Drivers!$B$13</f>
        <v/>
      </c>
      <c r="E10" s="16">
        <f>-Drivers!$B$13</f>
        <v/>
      </c>
      <c r="F10" s="16">
        <f>-Drivers!$B$13</f>
        <v/>
      </c>
      <c r="G10" s="16">
        <f>-Drivers!$B$13</f>
        <v/>
      </c>
      <c r="H10" s="16">
        <f>-Drivers!$B$13</f>
        <v/>
      </c>
      <c r="I10" s="16">
        <f>-Drivers!$B$13</f>
        <v/>
      </c>
      <c r="J10" s="16">
        <f>-Drivers!$B$13</f>
        <v/>
      </c>
      <c r="K10" s="16">
        <f>-Drivers!$B$13</f>
        <v/>
      </c>
      <c r="L10" s="16">
        <f>-Drivers!$B$13</f>
        <v/>
      </c>
      <c r="M10" s="16">
        <f>-Drivers!$B$13</f>
        <v/>
      </c>
      <c r="N10" s="30">
        <f>SUM(B10:M10)</f>
        <v/>
      </c>
    </row>
    <row r="11">
      <c r="A11" s="8" t="inlineStr">
        <is>
          <t>Net cash in the month</t>
        </is>
      </c>
      <c r="B11" s="30">
        <f>B8+B9+B10</f>
        <v/>
      </c>
      <c r="C11" s="30">
        <f>C8+C9+C10</f>
        <v/>
      </c>
      <c r="D11" s="30">
        <f>D8+D9+D10</f>
        <v/>
      </c>
      <c r="E11" s="30">
        <f>E8+E9+E10</f>
        <v/>
      </c>
      <c r="F11" s="30">
        <f>F8+F9+F10</f>
        <v/>
      </c>
      <c r="G11" s="30">
        <f>G8+G9+G10</f>
        <v/>
      </c>
      <c r="H11" s="30">
        <f>H8+H9+H10</f>
        <v/>
      </c>
      <c r="I11" s="30">
        <f>I8+I9+I10</f>
        <v/>
      </c>
      <c r="J11" s="30">
        <f>J8+J9+J10</f>
        <v/>
      </c>
      <c r="K11" s="30">
        <f>K8+K9+K10</f>
        <v/>
      </c>
      <c r="L11" s="30">
        <f>L8+L9+L10</f>
        <v/>
      </c>
      <c r="M11" s="30">
        <f>M8+M9+M10</f>
        <v/>
      </c>
    </row>
    <row r="12">
      <c r="A12" s="14" t="inlineStr">
        <is>
          <t>CUMULATIVE CASH</t>
        </is>
      </c>
      <c r="B12" s="17">
        <f>B11-Costs!$C$14</f>
        <v/>
      </c>
      <c r="C12" s="17">
        <f>B12+C11</f>
        <v/>
      </c>
      <c r="D12" s="17">
        <f>C12+D11</f>
        <v/>
      </c>
      <c r="E12" s="17">
        <f>D12+E11</f>
        <v/>
      </c>
      <c r="F12" s="17">
        <f>E12+F11</f>
        <v/>
      </c>
      <c r="G12" s="17">
        <f>F12+G11</f>
        <v/>
      </c>
      <c r="H12" s="17">
        <f>G12+H11</f>
        <v/>
      </c>
      <c r="I12" s="17">
        <f>H12+I11</f>
        <v/>
      </c>
      <c r="J12" s="17">
        <f>I12+J11</f>
        <v/>
      </c>
      <c r="K12" s="17">
        <f>J12+K11</f>
        <v/>
      </c>
      <c r="L12" s="17">
        <f>K12+L11</f>
        <v/>
      </c>
      <c r="M12" s="17">
        <f>L12+M11</f>
        <v/>
      </c>
      <c r="N12" s="17">
        <f>MIN(B12:M12)</f>
        <v/>
      </c>
    </row>
    <row r="13">
      <c r="A13" s="9" t="inlineStr">
        <is>
          <t>Deepest cash hole in the year (column N above)</t>
        </is>
      </c>
      <c r="B13" s="21" t="n"/>
      <c r="C13" s="21" t="n"/>
      <c r="D13" s="21" t="n"/>
      <c r="E13" s="21" t="n"/>
      <c r="F13" s="21" t="n"/>
      <c r="G13" s="21" t="n"/>
      <c r="H13" s="21" t="n"/>
      <c r="I13" s="21" t="n"/>
      <c r="J13" s="21" t="n"/>
      <c r="K13" s="21" t="n"/>
      <c r="L13" s="21" t="n"/>
      <c r="M13" s="21" t="n"/>
      <c r="N13" s="22" t="n"/>
    </row>
    <row r="15">
      <c r="A15" s="14" t="inlineStr">
        <is>
          <t>SLOW: first client month 7, you do the administration</t>
        </is>
      </c>
      <c r="B15" s="21" t="n"/>
      <c r="C15" s="21" t="n"/>
      <c r="D15" s="21" t="n"/>
      <c r="E15" s="21" t="n"/>
      <c r="F15" s="21" t="n"/>
      <c r="G15" s="21" t="n"/>
      <c r="H15" s="21" t="n"/>
      <c r="I15" s="21" t="n"/>
      <c r="J15" s="21" t="n"/>
      <c r="K15" s="21" t="n"/>
      <c r="L15" s="21" t="n"/>
      <c r="M15" s="21" t="n"/>
      <c r="N15" s="22" t="n"/>
    </row>
    <row r="16" ht="28" customHeight="1">
      <c r="A16" s="3" t="inlineStr">
        <is>
          <t>Month</t>
        </is>
      </c>
      <c r="B16" s="3" t="inlineStr">
        <is>
          <t>1</t>
        </is>
      </c>
      <c r="C16" s="3" t="inlineStr">
        <is>
          <t>2</t>
        </is>
      </c>
      <c r="D16" s="3" t="inlineStr">
        <is>
          <t>3</t>
        </is>
      </c>
      <c r="E16" s="3" t="inlineStr">
        <is>
          <t>4</t>
        </is>
      </c>
      <c r="F16" s="3" t="inlineStr">
        <is>
          <t>5</t>
        </is>
      </c>
      <c r="G16" s="3" t="inlineStr">
        <is>
          <t>6</t>
        </is>
      </c>
      <c r="H16" s="3" t="inlineStr">
        <is>
          <t>7</t>
        </is>
      </c>
      <c r="I16" s="3" t="inlineStr">
        <is>
          <t>8</t>
        </is>
      </c>
      <c r="J16" s="3" t="inlineStr">
        <is>
          <t>9</t>
        </is>
      </c>
      <c r="K16" s="3" t="inlineStr">
        <is>
          <t>10</t>
        </is>
      </c>
      <c r="L16" s="3" t="inlineStr">
        <is>
          <t>11</t>
        </is>
      </c>
      <c r="M16" s="3" t="inlineStr">
        <is>
          <t>12</t>
        </is>
      </c>
      <c r="N16" s="3" t="inlineStr">
        <is>
          <t>Year 1</t>
        </is>
      </c>
    </row>
    <row r="17">
      <c r="A17" s="7" t="inlineStr">
        <is>
          <t>Billable hours</t>
        </is>
      </c>
      <c r="B17" s="28" t="n">
        <v>0</v>
      </c>
      <c r="C17" s="28" t="n">
        <v>0</v>
      </c>
      <c r="D17" s="28" t="n">
        <v>0</v>
      </c>
      <c r="E17" s="28" t="n">
        <v>0</v>
      </c>
      <c r="F17" s="28" t="n">
        <v>0</v>
      </c>
      <c r="G17" s="28" t="n">
        <v>0</v>
      </c>
      <c r="H17" s="28" t="n">
        <v>30</v>
      </c>
      <c r="I17" s="28" t="n">
        <v>70</v>
      </c>
      <c r="J17" s="28" t="n">
        <v>110</v>
      </c>
      <c r="K17" s="28" t="n">
        <v>150</v>
      </c>
      <c r="L17" s="28" t="n">
        <v>190</v>
      </c>
      <c r="M17" s="28" t="n">
        <v>230</v>
      </c>
      <c r="N17" s="29">
        <f>SUM(B17:M17)</f>
        <v/>
      </c>
    </row>
    <row r="18">
      <c r="A18" s="7" t="inlineStr">
        <is>
          <t>Revenue</t>
        </is>
      </c>
      <c r="B18" s="16">
        <f>B17*Inputs!$B$5</f>
        <v/>
      </c>
      <c r="C18" s="16">
        <f>C17*Inputs!$B$5</f>
        <v/>
      </c>
      <c r="D18" s="16">
        <f>D17*Inputs!$B$5</f>
        <v/>
      </c>
      <c r="E18" s="16">
        <f>E17*Inputs!$B$5</f>
        <v/>
      </c>
      <c r="F18" s="16">
        <f>F17*Inputs!$B$5</f>
        <v/>
      </c>
      <c r="G18" s="16">
        <f>G17*Inputs!$B$5</f>
        <v/>
      </c>
      <c r="H18" s="16">
        <f>H17*Inputs!$B$5</f>
        <v/>
      </c>
      <c r="I18" s="16">
        <f>I17*Inputs!$B$5</f>
        <v/>
      </c>
      <c r="J18" s="16">
        <f>J17*Inputs!$B$5</f>
        <v/>
      </c>
      <c r="K18" s="16">
        <f>K17*Inputs!$B$5</f>
        <v/>
      </c>
      <c r="L18" s="16">
        <f>L17*Inputs!$B$5</f>
        <v/>
      </c>
      <c r="M18" s="16">
        <f>M17*Inputs!$B$5</f>
        <v/>
      </c>
      <c r="N18" s="30">
        <f>SUM(B18:M18)</f>
        <v/>
      </c>
    </row>
    <row r="19">
      <c r="A19" s="7" t="inlineStr">
        <is>
          <t>Contribution</t>
        </is>
      </c>
      <c r="B19" s="16">
        <f>B17*UnitEconomics!$B$16</f>
        <v/>
      </c>
      <c r="C19" s="16">
        <f>C17*UnitEconomics!$B$16</f>
        <v/>
      </c>
      <c r="D19" s="16">
        <f>D17*UnitEconomics!$B$16</f>
        <v/>
      </c>
      <c r="E19" s="16">
        <f>E17*UnitEconomics!$B$16</f>
        <v/>
      </c>
      <c r="F19" s="16">
        <f>F17*UnitEconomics!$B$16</f>
        <v/>
      </c>
      <c r="G19" s="16">
        <f>G17*UnitEconomics!$B$16</f>
        <v/>
      </c>
      <c r="H19" s="16">
        <f>H17*UnitEconomics!$B$16</f>
        <v/>
      </c>
      <c r="I19" s="16">
        <f>I17*UnitEconomics!$B$16</f>
        <v/>
      </c>
      <c r="J19" s="16">
        <f>J17*UnitEconomics!$B$16</f>
        <v/>
      </c>
      <c r="K19" s="16">
        <f>K17*UnitEconomics!$B$16</f>
        <v/>
      </c>
      <c r="L19" s="16">
        <f>L17*UnitEconomics!$B$16</f>
        <v/>
      </c>
      <c r="M19" s="16">
        <f>M17*UnitEconomics!$B$16</f>
        <v/>
      </c>
      <c r="N19" s="30">
        <f>SUM(B19:M19)</f>
        <v/>
      </c>
    </row>
    <row r="20">
      <c r="A20" s="7" t="inlineStr">
        <is>
          <t>Fixed costs</t>
        </is>
      </c>
      <c r="B20" s="16">
        <f>-Costs!$C$28</f>
        <v/>
      </c>
      <c r="C20" s="16">
        <f>-Costs!$C$28</f>
        <v/>
      </c>
      <c r="D20" s="16">
        <f>-Costs!$C$28</f>
        <v/>
      </c>
      <c r="E20" s="16">
        <f>-Costs!$C$28</f>
        <v/>
      </c>
      <c r="F20" s="16">
        <f>-Costs!$C$28</f>
        <v/>
      </c>
      <c r="G20" s="16">
        <f>-Costs!$C$28</f>
        <v/>
      </c>
      <c r="H20" s="16">
        <f>-Costs!$C$28</f>
        <v/>
      </c>
      <c r="I20" s="16">
        <f>-Costs!$C$28</f>
        <v/>
      </c>
      <c r="J20" s="16">
        <f>-Costs!$C$28</f>
        <v/>
      </c>
      <c r="K20" s="16">
        <f>-Costs!$C$28</f>
        <v/>
      </c>
      <c r="L20" s="16">
        <f>-Costs!$C$28</f>
        <v/>
      </c>
      <c r="M20" s="16">
        <f>-Costs!$C$28</f>
        <v/>
      </c>
      <c r="N20" s="30">
        <f>SUM(B20:M20)</f>
        <v/>
      </c>
    </row>
    <row r="21">
      <c r="A21" s="7" t="inlineStr">
        <is>
          <t>Owner drawings</t>
        </is>
      </c>
      <c r="B21" s="16">
        <f>-Drivers!$B$13</f>
        <v/>
      </c>
      <c r="C21" s="16">
        <f>-Drivers!$B$13</f>
        <v/>
      </c>
      <c r="D21" s="16">
        <f>-Drivers!$B$13</f>
        <v/>
      </c>
      <c r="E21" s="16">
        <f>-Drivers!$B$13</f>
        <v/>
      </c>
      <c r="F21" s="16">
        <f>-Drivers!$B$13</f>
        <v/>
      </c>
      <c r="G21" s="16">
        <f>-Drivers!$B$13</f>
        <v/>
      </c>
      <c r="H21" s="16">
        <f>-Drivers!$B$13</f>
        <v/>
      </c>
      <c r="I21" s="16">
        <f>-Drivers!$B$13</f>
        <v/>
      </c>
      <c r="J21" s="16">
        <f>-Drivers!$B$13</f>
        <v/>
      </c>
      <c r="K21" s="16">
        <f>-Drivers!$B$13</f>
        <v/>
      </c>
      <c r="L21" s="16">
        <f>-Drivers!$B$13</f>
        <v/>
      </c>
      <c r="M21" s="16">
        <f>-Drivers!$B$13</f>
        <v/>
      </c>
      <c r="N21" s="30">
        <f>SUM(B21:M21)</f>
        <v/>
      </c>
    </row>
    <row r="22">
      <c r="A22" s="8" t="inlineStr">
        <is>
          <t>Net cash in the month</t>
        </is>
      </c>
      <c r="B22" s="30">
        <f>B19+B20+B21</f>
        <v/>
      </c>
      <c r="C22" s="30">
        <f>C19+C20+C21</f>
        <v/>
      </c>
      <c r="D22" s="30">
        <f>D19+D20+D21</f>
        <v/>
      </c>
      <c r="E22" s="30">
        <f>E19+E20+E21</f>
        <v/>
      </c>
      <c r="F22" s="30">
        <f>F19+F20+F21</f>
        <v/>
      </c>
      <c r="G22" s="30">
        <f>G19+G20+G21</f>
        <v/>
      </c>
      <c r="H22" s="30">
        <f>H19+H20+H21</f>
        <v/>
      </c>
      <c r="I22" s="30">
        <f>I19+I20+I21</f>
        <v/>
      </c>
      <c r="J22" s="30">
        <f>J19+J20+J21</f>
        <v/>
      </c>
      <c r="K22" s="30">
        <f>K19+K20+K21</f>
        <v/>
      </c>
      <c r="L22" s="30">
        <f>L19+L20+L21</f>
        <v/>
      </c>
      <c r="M22" s="30">
        <f>M19+M20+M21</f>
        <v/>
      </c>
    </row>
    <row r="23">
      <c r="A23" s="14" t="inlineStr">
        <is>
          <t>CUMULATIVE CASH</t>
        </is>
      </c>
      <c r="B23" s="17">
        <f>B22-Costs!$C$14</f>
        <v/>
      </c>
      <c r="C23" s="17">
        <f>B23+C22</f>
        <v/>
      </c>
      <c r="D23" s="17">
        <f>C23+D22</f>
        <v/>
      </c>
      <c r="E23" s="17">
        <f>D23+E22</f>
        <v/>
      </c>
      <c r="F23" s="17">
        <f>E23+F22</f>
        <v/>
      </c>
      <c r="G23" s="17">
        <f>F23+G22</f>
        <v/>
      </c>
      <c r="H23" s="17">
        <f>G23+H22</f>
        <v/>
      </c>
      <c r="I23" s="17">
        <f>H23+I22</f>
        <v/>
      </c>
      <c r="J23" s="17">
        <f>I23+J22</f>
        <v/>
      </c>
      <c r="K23" s="17">
        <f>J23+K22</f>
        <v/>
      </c>
      <c r="L23" s="17">
        <f>K23+L22</f>
        <v/>
      </c>
      <c r="M23" s="17">
        <f>L23+M22</f>
        <v/>
      </c>
      <c r="N23" s="17">
        <f>MIN(B23:M23)</f>
        <v/>
      </c>
    </row>
    <row r="24">
      <c r="A24" s="9" t="inlineStr">
        <is>
          <t>Deepest cash hole in the year (column N above)</t>
        </is>
      </c>
      <c r="B24" s="21" t="n"/>
      <c r="C24" s="21" t="n"/>
      <c r="D24" s="21" t="n"/>
      <c r="E24" s="21" t="n"/>
      <c r="F24" s="21" t="n"/>
      <c r="G24" s="21" t="n"/>
      <c r="H24" s="21" t="n"/>
      <c r="I24" s="21" t="n"/>
      <c r="J24" s="21" t="n"/>
      <c r="K24" s="21" t="n"/>
      <c r="L24" s="21" t="n"/>
      <c r="M24" s="21" t="n"/>
      <c r="N24" s="22" t="n"/>
    </row>
    <row r="26">
      <c r="A26" s="14" t="inlineStr">
        <is>
          <t>PAID ADMIN: base ramp, but administration is paid</t>
        </is>
      </c>
      <c r="B26" s="21" t="n"/>
      <c r="C26" s="21" t="n"/>
      <c r="D26" s="21" t="n"/>
      <c r="E26" s="21" t="n"/>
      <c r="F26" s="21" t="n"/>
      <c r="G26" s="21" t="n"/>
      <c r="H26" s="21" t="n"/>
      <c r="I26" s="21" t="n"/>
      <c r="J26" s="21" t="n"/>
      <c r="K26" s="21" t="n"/>
      <c r="L26" s="21" t="n"/>
      <c r="M26" s="21" t="n"/>
      <c r="N26" s="22" t="n"/>
    </row>
    <row r="27" ht="28" customHeight="1">
      <c r="A27" s="3" t="inlineStr">
        <is>
          <t>Month</t>
        </is>
      </c>
      <c r="B27" s="3" t="inlineStr">
        <is>
          <t>1</t>
        </is>
      </c>
      <c r="C27" s="3" t="inlineStr">
        <is>
          <t>2</t>
        </is>
      </c>
      <c r="D27" s="3" t="inlineStr">
        <is>
          <t>3</t>
        </is>
      </c>
      <c r="E27" s="3" t="inlineStr">
        <is>
          <t>4</t>
        </is>
      </c>
      <c r="F27" s="3" t="inlineStr">
        <is>
          <t>5</t>
        </is>
      </c>
      <c r="G27" s="3" t="inlineStr">
        <is>
          <t>6</t>
        </is>
      </c>
      <c r="H27" s="3" t="inlineStr">
        <is>
          <t>7</t>
        </is>
      </c>
      <c r="I27" s="3" t="inlineStr">
        <is>
          <t>8</t>
        </is>
      </c>
      <c r="J27" s="3" t="inlineStr">
        <is>
          <t>9</t>
        </is>
      </c>
      <c r="K27" s="3" t="inlineStr">
        <is>
          <t>10</t>
        </is>
      </c>
      <c r="L27" s="3" t="inlineStr">
        <is>
          <t>11</t>
        </is>
      </c>
      <c r="M27" s="3" t="inlineStr">
        <is>
          <t>12</t>
        </is>
      </c>
      <c r="N27" s="3" t="inlineStr">
        <is>
          <t>Year 1</t>
        </is>
      </c>
    </row>
    <row r="28">
      <c r="A28" s="7" t="inlineStr">
        <is>
          <t>Billable hours</t>
        </is>
      </c>
      <c r="B28" s="28" t="n">
        <v>0</v>
      </c>
      <c r="C28" s="28" t="n">
        <v>0</v>
      </c>
      <c r="D28" s="28" t="n">
        <v>0</v>
      </c>
      <c r="E28" s="28" t="n">
        <v>40</v>
      </c>
      <c r="F28" s="28" t="n">
        <v>80</v>
      </c>
      <c r="G28" s="28" t="n">
        <v>130</v>
      </c>
      <c r="H28" s="28" t="n">
        <v>180</v>
      </c>
      <c r="I28" s="28" t="n">
        <v>230</v>
      </c>
      <c r="J28" s="28" t="n">
        <v>280</v>
      </c>
      <c r="K28" s="28" t="n">
        <v>320</v>
      </c>
      <c r="L28" s="28" t="n">
        <v>350</v>
      </c>
      <c r="M28" s="28" t="n">
        <v>380</v>
      </c>
      <c r="N28" s="29">
        <f>SUM(B28:M28)</f>
        <v/>
      </c>
    </row>
    <row r="29">
      <c r="A29" s="7" t="inlineStr">
        <is>
          <t>Revenue</t>
        </is>
      </c>
      <c r="B29" s="16">
        <f>B28*Inputs!$B$5</f>
        <v/>
      </c>
      <c r="C29" s="16">
        <f>C28*Inputs!$B$5</f>
        <v/>
      </c>
      <c r="D29" s="16">
        <f>D28*Inputs!$B$5</f>
        <v/>
      </c>
      <c r="E29" s="16">
        <f>E28*Inputs!$B$5</f>
        <v/>
      </c>
      <c r="F29" s="16">
        <f>F28*Inputs!$B$5</f>
        <v/>
      </c>
      <c r="G29" s="16">
        <f>G28*Inputs!$B$5</f>
        <v/>
      </c>
      <c r="H29" s="16">
        <f>H28*Inputs!$B$5</f>
        <v/>
      </c>
      <c r="I29" s="16">
        <f>I28*Inputs!$B$5</f>
        <v/>
      </c>
      <c r="J29" s="16">
        <f>J28*Inputs!$B$5</f>
        <v/>
      </c>
      <c r="K29" s="16">
        <f>K28*Inputs!$B$5</f>
        <v/>
      </c>
      <c r="L29" s="16">
        <f>L28*Inputs!$B$5</f>
        <v/>
      </c>
      <c r="M29" s="16">
        <f>M28*Inputs!$B$5</f>
        <v/>
      </c>
      <c r="N29" s="30">
        <f>SUM(B29:M29)</f>
        <v/>
      </c>
    </row>
    <row r="30">
      <c r="A30" s="7" t="inlineStr">
        <is>
          <t>Contribution</t>
        </is>
      </c>
      <c r="B30" s="16">
        <f>B28*UnitEconomics!$B$14</f>
        <v/>
      </c>
      <c r="C30" s="16">
        <f>C28*UnitEconomics!$B$14</f>
        <v/>
      </c>
      <c r="D30" s="16">
        <f>D28*UnitEconomics!$B$14</f>
        <v/>
      </c>
      <c r="E30" s="16">
        <f>E28*UnitEconomics!$B$14</f>
        <v/>
      </c>
      <c r="F30" s="16">
        <f>F28*UnitEconomics!$B$14</f>
        <v/>
      </c>
      <c r="G30" s="16">
        <f>G28*UnitEconomics!$B$14</f>
        <v/>
      </c>
      <c r="H30" s="16">
        <f>H28*UnitEconomics!$B$14</f>
        <v/>
      </c>
      <c r="I30" s="16">
        <f>I28*UnitEconomics!$B$14</f>
        <v/>
      </c>
      <c r="J30" s="16">
        <f>J28*UnitEconomics!$B$14</f>
        <v/>
      </c>
      <c r="K30" s="16">
        <f>K28*UnitEconomics!$B$14</f>
        <v/>
      </c>
      <c r="L30" s="16">
        <f>L28*UnitEconomics!$B$14</f>
        <v/>
      </c>
      <c r="M30" s="16">
        <f>M28*UnitEconomics!$B$14</f>
        <v/>
      </c>
      <c r="N30" s="30">
        <f>SUM(B30:M30)</f>
        <v/>
      </c>
    </row>
    <row r="31">
      <c r="A31" s="7" t="inlineStr">
        <is>
          <t>Fixed costs</t>
        </is>
      </c>
      <c r="B31" s="16">
        <f>-Costs!$C$28</f>
        <v/>
      </c>
      <c r="C31" s="16">
        <f>-Costs!$C$28</f>
        <v/>
      </c>
      <c r="D31" s="16">
        <f>-Costs!$C$28</f>
        <v/>
      </c>
      <c r="E31" s="16">
        <f>-Costs!$C$28</f>
        <v/>
      </c>
      <c r="F31" s="16">
        <f>-Costs!$C$28</f>
        <v/>
      </c>
      <c r="G31" s="16">
        <f>-Costs!$C$28</f>
        <v/>
      </c>
      <c r="H31" s="16">
        <f>-Costs!$C$28</f>
        <v/>
      </c>
      <c r="I31" s="16">
        <f>-Costs!$C$28</f>
        <v/>
      </c>
      <c r="J31" s="16">
        <f>-Costs!$C$28</f>
        <v/>
      </c>
      <c r="K31" s="16">
        <f>-Costs!$C$28</f>
        <v/>
      </c>
      <c r="L31" s="16">
        <f>-Costs!$C$28</f>
        <v/>
      </c>
      <c r="M31" s="16">
        <f>-Costs!$C$28</f>
        <v/>
      </c>
      <c r="N31" s="30">
        <f>SUM(B31:M31)</f>
        <v/>
      </c>
    </row>
    <row r="32">
      <c r="A32" s="7" t="inlineStr">
        <is>
          <t>Owner drawings</t>
        </is>
      </c>
      <c r="B32" s="16">
        <f>-Drivers!$B$13</f>
        <v/>
      </c>
      <c r="C32" s="16">
        <f>-Drivers!$B$13</f>
        <v/>
      </c>
      <c r="D32" s="16">
        <f>-Drivers!$B$13</f>
        <v/>
      </c>
      <c r="E32" s="16">
        <f>-Drivers!$B$13</f>
        <v/>
      </c>
      <c r="F32" s="16">
        <f>-Drivers!$B$13</f>
        <v/>
      </c>
      <c r="G32" s="16">
        <f>-Drivers!$B$13</f>
        <v/>
      </c>
      <c r="H32" s="16">
        <f>-Drivers!$B$13</f>
        <v/>
      </c>
      <c r="I32" s="16">
        <f>-Drivers!$B$13</f>
        <v/>
      </c>
      <c r="J32" s="16">
        <f>-Drivers!$B$13</f>
        <v/>
      </c>
      <c r="K32" s="16">
        <f>-Drivers!$B$13</f>
        <v/>
      </c>
      <c r="L32" s="16">
        <f>-Drivers!$B$13</f>
        <v/>
      </c>
      <c r="M32" s="16">
        <f>-Drivers!$B$13</f>
        <v/>
      </c>
      <c r="N32" s="30">
        <f>SUM(B32:M32)</f>
        <v/>
      </c>
    </row>
    <row r="33">
      <c r="A33" s="8" t="inlineStr">
        <is>
          <t>Net cash in the month</t>
        </is>
      </c>
      <c r="B33" s="30">
        <f>B30+B31+B32</f>
        <v/>
      </c>
      <c r="C33" s="30">
        <f>C30+C31+C32</f>
        <v/>
      </c>
      <c r="D33" s="30">
        <f>D30+D31+D32</f>
        <v/>
      </c>
      <c r="E33" s="30">
        <f>E30+E31+E32</f>
        <v/>
      </c>
      <c r="F33" s="30">
        <f>F30+F31+F32</f>
        <v/>
      </c>
      <c r="G33" s="30">
        <f>G30+G31+G32</f>
        <v/>
      </c>
      <c r="H33" s="30">
        <f>H30+H31+H32</f>
        <v/>
      </c>
      <c r="I33" s="30">
        <f>I30+I31+I32</f>
        <v/>
      </c>
      <c r="J33" s="30">
        <f>J30+J31+J32</f>
        <v/>
      </c>
      <c r="K33" s="30">
        <f>K30+K31+K32</f>
        <v/>
      </c>
      <c r="L33" s="30">
        <f>L30+L31+L32</f>
        <v/>
      </c>
      <c r="M33" s="30">
        <f>M30+M31+M32</f>
        <v/>
      </c>
    </row>
    <row r="34">
      <c r="A34" s="14" t="inlineStr">
        <is>
          <t>CUMULATIVE CASH</t>
        </is>
      </c>
      <c r="B34" s="17">
        <f>B33-Costs!$C$14</f>
        <v/>
      </c>
      <c r="C34" s="17">
        <f>B34+C33</f>
        <v/>
      </c>
      <c r="D34" s="17">
        <f>C34+D33</f>
        <v/>
      </c>
      <c r="E34" s="17">
        <f>D34+E33</f>
        <v/>
      </c>
      <c r="F34" s="17">
        <f>E34+F33</f>
        <v/>
      </c>
      <c r="G34" s="17">
        <f>F34+G33</f>
        <v/>
      </c>
      <c r="H34" s="17">
        <f>G34+H33</f>
        <v/>
      </c>
      <c r="I34" s="17">
        <f>H34+I33</f>
        <v/>
      </c>
      <c r="J34" s="17">
        <f>I34+J33</f>
        <v/>
      </c>
      <c r="K34" s="17">
        <f>J34+K33</f>
        <v/>
      </c>
      <c r="L34" s="17">
        <f>K34+L33</f>
        <v/>
      </c>
      <c r="M34" s="17">
        <f>L34+M33</f>
        <v/>
      </c>
      <c r="N34" s="17">
        <f>MIN(B34:M34)</f>
        <v/>
      </c>
    </row>
    <row r="35">
      <c r="A35" s="9" t="inlineStr">
        <is>
          <t>Deepest cash hole in the year (column N above)</t>
        </is>
      </c>
      <c r="B35" s="21" t="n"/>
      <c r="C35" s="21" t="n"/>
      <c r="D35" s="21" t="n"/>
      <c r="E35" s="21" t="n"/>
      <c r="F35" s="21" t="n"/>
      <c r="G35" s="21" t="n"/>
      <c r="H35" s="21" t="n"/>
      <c r="I35" s="21" t="n"/>
      <c r="J35" s="21" t="n"/>
      <c r="K35" s="21" t="n"/>
      <c r="L35" s="21" t="n"/>
      <c r="M35" s="21" t="n"/>
      <c r="N35" s="22" t="n"/>
    </row>
    <row r="37">
      <c r="A37" s="14" t="inlineStr">
        <is>
          <t>DOWNSIDE: no participant at all for twelve months</t>
        </is>
      </c>
      <c r="B37" s="21" t="n"/>
      <c r="C37" s="21" t="n"/>
      <c r="D37" s="21" t="n"/>
      <c r="E37" s="21" t="n"/>
      <c r="F37" s="21" t="n"/>
      <c r="G37" s="21" t="n"/>
      <c r="H37" s="21" t="n"/>
      <c r="I37" s="21" t="n"/>
      <c r="J37" s="21" t="n"/>
      <c r="K37" s="21" t="n"/>
      <c r="L37" s="21" t="n"/>
      <c r="M37" s="21" t="n"/>
      <c r="N37" s="22" t="n"/>
    </row>
    <row r="38" ht="28" customHeight="1">
      <c r="A38" s="3" t="inlineStr">
        <is>
          <t>Month</t>
        </is>
      </c>
      <c r="B38" s="3" t="inlineStr">
        <is>
          <t>1</t>
        </is>
      </c>
      <c r="C38" s="3" t="inlineStr">
        <is>
          <t>2</t>
        </is>
      </c>
      <c r="D38" s="3" t="inlineStr">
        <is>
          <t>3</t>
        </is>
      </c>
      <c r="E38" s="3" t="inlineStr">
        <is>
          <t>4</t>
        </is>
      </c>
      <c r="F38" s="3" t="inlineStr">
        <is>
          <t>5</t>
        </is>
      </c>
      <c r="G38" s="3" t="inlineStr">
        <is>
          <t>6</t>
        </is>
      </c>
      <c r="H38" s="3" t="inlineStr">
        <is>
          <t>7</t>
        </is>
      </c>
      <c r="I38" s="3" t="inlineStr">
        <is>
          <t>8</t>
        </is>
      </c>
      <c r="J38" s="3" t="inlineStr">
        <is>
          <t>9</t>
        </is>
      </c>
      <c r="K38" s="3" t="inlineStr">
        <is>
          <t>10</t>
        </is>
      </c>
      <c r="L38" s="3" t="inlineStr">
        <is>
          <t>11</t>
        </is>
      </c>
      <c r="M38" s="3" t="inlineStr">
        <is>
          <t>12</t>
        </is>
      </c>
      <c r="N38" s="3" t="inlineStr">
        <is>
          <t>Year 1</t>
        </is>
      </c>
    </row>
    <row r="39">
      <c r="A39" s="7" t="inlineStr">
        <is>
          <t>Billable hours</t>
        </is>
      </c>
      <c r="B39" s="28" t="n">
        <v>0</v>
      </c>
      <c r="C39" s="28" t="n">
        <v>0</v>
      </c>
      <c r="D39" s="28" t="n">
        <v>0</v>
      </c>
      <c r="E39" s="28" t="n">
        <v>0</v>
      </c>
      <c r="F39" s="28" t="n">
        <v>0</v>
      </c>
      <c r="G39" s="28" t="n">
        <v>0</v>
      </c>
      <c r="H39" s="28" t="n">
        <v>0</v>
      </c>
      <c r="I39" s="28" t="n">
        <v>0</v>
      </c>
      <c r="J39" s="28" t="n">
        <v>0</v>
      </c>
      <c r="K39" s="28" t="n">
        <v>0</v>
      </c>
      <c r="L39" s="28" t="n">
        <v>0</v>
      </c>
      <c r="M39" s="28" t="n">
        <v>0</v>
      </c>
      <c r="N39" s="29">
        <f>SUM(B39:M39)</f>
        <v/>
      </c>
    </row>
    <row r="40">
      <c r="A40" s="7" t="inlineStr">
        <is>
          <t>Revenue</t>
        </is>
      </c>
      <c r="B40" s="16">
        <f>B39*Inputs!$B$5</f>
        <v/>
      </c>
      <c r="C40" s="16">
        <f>C39*Inputs!$B$5</f>
        <v/>
      </c>
      <c r="D40" s="16">
        <f>D39*Inputs!$B$5</f>
        <v/>
      </c>
      <c r="E40" s="16">
        <f>E39*Inputs!$B$5</f>
        <v/>
      </c>
      <c r="F40" s="16">
        <f>F39*Inputs!$B$5</f>
        <v/>
      </c>
      <c r="G40" s="16">
        <f>G39*Inputs!$B$5</f>
        <v/>
      </c>
      <c r="H40" s="16">
        <f>H39*Inputs!$B$5</f>
        <v/>
      </c>
      <c r="I40" s="16">
        <f>I39*Inputs!$B$5</f>
        <v/>
      </c>
      <c r="J40" s="16">
        <f>J39*Inputs!$B$5</f>
        <v/>
      </c>
      <c r="K40" s="16">
        <f>K39*Inputs!$B$5</f>
        <v/>
      </c>
      <c r="L40" s="16">
        <f>L39*Inputs!$B$5</f>
        <v/>
      </c>
      <c r="M40" s="16">
        <f>M39*Inputs!$B$5</f>
        <v/>
      </c>
      <c r="N40" s="30">
        <f>SUM(B40:M40)</f>
        <v/>
      </c>
    </row>
    <row r="41">
      <c r="A41" s="7" t="inlineStr">
        <is>
          <t>Contribution</t>
        </is>
      </c>
      <c r="B41" s="16">
        <f>B39*UnitEconomics!$B$16</f>
        <v/>
      </c>
      <c r="C41" s="16">
        <f>C39*UnitEconomics!$B$16</f>
        <v/>
      </c>
      <c r="D41" s="16">
        <f>D39*UnitEconomics!$B$16</f>
        <v/>
      </c>
      <c r="E41" s="16">
        <f>E39*UnitEconomics!$B$16</f>
        <v/>
      </c>
      <c r="F41" s="16">
        <f>F39*UnitEconomics!$B$16</f>
        <v/>
      </c>
      <c r="G41" s="16">
        <f>G39*UnitEconomics!$B$16</f>
        <v/>
      </c>
      <c r="H41" s="16">
        <f>H39*UnitEconomics!$B$16</f>
        <v/>
      </c>
      <c r="I41" s="16">
        <f>I39*UnitEconomics!$B$16</f>
        <v/>
      </c>
      <c r="J41" s="16">
        <f>J39*UnitEconomics!$B$16</f>
        <v/>
      </c>
      <c r="K41" s="16">
        <f>K39*UnitEconomics!$B$16</f>
        <v/>
      </c>
      <c r="L41" s="16">
        <f>L39*UnitEconomics!$B$16</f>
        <v/>
      </c>
      <c r="M41" s="16">
        <f>M39*UnitEconomics!$B$16</f>
        <v/>
      </c>
      <c r="N41" s="30">
        <f>SUM(B41:M41)</f>
        <v/>
      </c>
    </row>
    <row r="42">
      <c r="A42" s="7" t="inlineStr">
        <is>
          <t>Fixed costs</t>
        </is>
      </c>
      <c r="B42" s="16">
        <f>-Costs!$C$28</f>
        <v/>
      </c>
      <c r="C42" s="16">
        <f>-Costs!$C$28</f>
        <v/>
      </c>
      <c r="D42" s="16">
        <f>-Costs!$C$28</f>
        <v/>
      </c>
      <c r="E42" s="16">
        <f>-Costs!$C$28</f>
        <v/>
      </c>
      <c r="F42" s="16">
        <f>-Costs!$C$28</f>
        <v/>
      </c>
      <c r="G42" s="16">
        <f>-Costs!$C$28</f>
        <v/>
      </c>
      <c r="H42" s="16">
        <f>-Costs!$C$28</f>
        <v/>
      </c>
      <c r="I42" s="16">
        <f>-Costs!$C$28</f>
        <v/>
      </c>
      <c r="J42" s="16">
        <f>-Costs!$C$28</f>
        <v/>
      </c>
      <c r="K42" s="16">
        <f>-Costs!$C$28</f>
        <v/>
      </c>
      <c r="L42" s="16">
        <f>-Costs!$C$28</f>
        <v/>
      </c>
      <c r="M42" s="16">
        <f>-Costs!$C$28</f>
        <v/>
      </c>
      <c r="N42" s="30">
        <f>SUM(B42:M42)</f>
        <v/>
      </c>
    </row>
    <row r="43">
      <c r="A43" s="7" t="inlineStr">
        <is>
          <t>Owner drawings</t>
        </is>
      </c>
      <c r="B43" s="16">
        <f>-Drivers!$B$13</f>
        <v/>
      </c>
      <c r="C43" s="16">
        <f>-Drivers!$B$13</f>
        <v/>
      </c>
      <c r="D43" s="16">
        <f>-Drivers!$B$13</f>
        <v/>
      </c>
      <c r="E43" s="16">
        <f>-Drivers!$B$13</f>
        <v/>
      </c>
      <c r="F43" s="16">
        <f>-Drivers!$B$13</f>
        <v/>
      </c>
      <c r="G43" s="16">
        <f>-Drivers!$B$13</f>
        <v/>
      </c>
      <c r="H43" s="16">
        <f>-Drivers!$B$13</f>
        <v/>
      </c>
      <c r="I43" s="16">
        <f>-Drivers!$B$13</f>
        <v/>
      </c>
      <c r="J43" s="16">
        <f>-Drivers!$B$13</f>
        <v/>
      </c>
      <c r="K43" s="16">
        <f>-Drivers!$B$13</f>
        <v/>
      </c>
      <c r="L43" s="16">
        <f>-Drivers!$B$13</f>
        <v/>
      </c>
      <c r="M43" s="16">
        <f>-Drivers!$B$13</f>
        <v/>
      </c>
      <c r="N43" s="30">
        <f>SUM(B43:M43)</f>
        <v/>
      </c>
    </row>
    <row r="44">
      <c r="A44" s="8" t="inlineStr">
        <is>
          <t>Net cash in the month</t>
        </is>
      </c>
      <c r="B44" s="30">
        <f>B41+B42+B43</f>
        <v/>
      </c>
      <c r="C44" s="30">
        <f>C41+C42+C43</f>
        <v/>
      </c>
      <c r="D44" s="30">
        <f>D41+D42+D43</f>
        <v/>
      </c>
      <c r="E44" s="30">
        <f>E41+E42+E43</f>
        <v/>
      </c>
      <c r="F44" s="30">
        <f>F41+F42+F43</f>
        <v/>
      </c>
      <c r="G44" s="30">
        <f>G41+G42+G43</f>
        <v/>
      </c>
      <c r="H44" s="30">
        <f>H41+H42+H43</f>
        <v/>
      </c>
      <c r="I44" s="30">
        <f>I41+I42+I43</f>
        <v/>
      </c>
      <c r="J44" s="30">
        <f>J41+J42+J43</f>
        <v/>
      </c>
      <c r="K44" s="30">
        <f>K41+K42+K43</f>
        <v/>
      </c>
      <c r="L44" s="30">
        <f>L41+L42+L43</f>
        <v/>
      </c>
      <c r="M44" s="30">
        <f>M41+M42+M43</f>
        <v/>
      </c>
    </row>
    <row r="45">
      <c r="A45" s="14" t="inlineStr">
        <is>
          <t>CUMULATIVE CASH</t>
        </is>
      </c>
      <c r="B45" s="17">
        <f>B44-Costs!$C$14</f>
        <v/>
      </c>
      <c r="C45" s="17">
        <f>B45+C44</f>
        <v/>
      </c>
      <c r="D45" s="17">
        <f>C45+D44</f>
        <v/>
      </c>
      <c r="E45" s="17">
        <f>D45+E44</f>
        <v/>
      </c>
      <c r="F45" s="17">
        <f>E45+F44</f>
        <v/>
      </c>
      <c r="G45" s="17">
        <f>F45+G44</f>
        <v/>
      </c>
      <c r="H45" s="17">
        <f>G45+H44</f>
        <v/>
      </c>
      <c r="I45" s="17">
        <f>H45+I44</f>
        <v/>
      </c>
      <c r="J45" s="17">
        <f>I45+J44</f>
        <v/>
      </c>
      <c r="K45" s="17">
        <f>J45+K44</f>
        <v/>
      </c>
      <c r="L45" s="17">
        <f>K45+L44</f>
        <v/>
      </c>
      <c r="M45" s="17">
        <f>L45+M44</f>
        <v/>
      </c>
      <c r="N45" s="17">
        <f>MIN(B45:M45)</f>
        <v/>
      </c>
    </row>
    <row r="46">
      <c r="A46" s="9" t="inlineStr">
        <is>
          <t>Deepest cash hole in the year (column N above)</t>
        </is>
      </c>
      <c r="B46" s="21" t="n"/>
      <c r="C46" s="21" t="n"/>
      <c r="D46" s="21" t="n"/>
      <c r="E46" s="21" t="n"/>
      <c r="F46" s="21" t="n"/>
      <c r="G46" s="21" t="n"/>
      <c r="H46" s="21" t="n"/>
      <c r="I46" s="21" t="n"/>
      <c r="J46" s="21" t="n"/>
      <c r="K46" s="21" t="n"/>
      <c r="L46" s="21" t="n"/>
      <c r="M46" s="21" t="n"/>
      <c r="N46" s="22" t="n"/>
    </row>
    <row r="48" ht="32" customHeight="1">
      <c r="A48" s="20" t="inlineStr">
        <is>
          <t>Month 1 already carries the full one-off setup cost, which is why every cumulative row starts negative. The DOWNSIDE row is REQ-SYS-07: it is the cash you must be willing to lose if no participant ever arrives.</t>
        </is>
      </c>
      <c r="B48" s="21" t="n"/>
      <c r="C48" s="21" t="n"/>
      <c r="D48" s="21" t="n"/>
      <c r="E48" s="21" t="n"/>
      <c r="F48" s="21" t="n"/>
      <c r="G48" s="21" t="n"/>
      <c r="H48" s="21" t="n"/>
      <c r="I48" s="21" t="n"/>
      <c r="J48" s="21" t="n"/>
      <c r="K48" s="21" t="n"/>
      <c r="L48" s="21" t="n"/>
      <c r="M48" s="21" t="n"/>
      <c r="N48" s="22" t="n"/>
    </row>
  </sheetData>
  <mergeCells count="11">
    <mergeCell ref="A35:N35"/>
    <mergeCell ref="A4:N4"/>
    <mergeCell ref="A48:N48"/>
    <mergeCell ref="A26:N26"/>
    <mergeCell ref="A24:N24"/>
    <mergeCell ref="A2:N2"/>
    <mergeCell ref="A15:N15"/>
    <mergeCell ref="A46:N46"/>
    <mergeCell ref="A37:N37"/>
    <mergeCell ref="A13:N13"/>
    <mergeCell ref="A1:N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52" customWidth="1" min="1" max="1"/>
    <col width="18" customWidth="1" min="2" max="2"/>
    <col width="66" customWidth="1" min="3" max="3"/>
  </cols>
  <sheetData>
    <row r="1">
      <c r="A1" s="1" t="inlineStr">
        <is>
          <t>Support coordination delivered by you personally</t>
        </is>
      </c>
    </row>
    <row r="2">
      <c r="A2" s="2" t="inlineStr">
        <is>
          <t>No support workers, no wage cycle, no working capital gap. The only driver that matters is billable utilisation.</t>
        </is>
      </c>
    </row>
    <row r="4" ht="28" customHeight="1">
      <c r="A4" s="3" t="inlineStr">
        <is>
          <t>Measure</t>
        </is>
      </c>
      <c r="B4" s="3" t="inlineStr">
        <is>
          <t>Value</t>
        </is>
      </c>
      <c r="C4" s="3" t="inlineStr">
        <is>
          <t>Note</t>
        </is>
      </c>
    </row>
    <row r="5" ht="26" customHeight="1">
      <c r="A5" s="5" t="inlineStr">
        <is>
          <t>Price limit, Support Coordination Level 2</t>
        </is>
      </c>
      <c r="B5" s="23">
        <f>Inputs!$B$7</f>
        <v/>
      </c>
      <c r="C5" s="9" t="inlineStr">
        <is>
          <t>SRC-005.</t>
        </is>
      </c>
    </row>
    <row r="6" ht="26" customHeight="1">
      <c r="A6" s="5" t="inlineStr">
        <is>
          <t>Hours available per week</t>
        </is>
      </c>
      <c r="B6" s="27">
        <f>Drivers!$B$11</f>
        <v/>
      </c>
      <c r="C6" s="9" t="inlineStr">
        <is>
          <t>ASM-011. Assumes owner-operator. ACT-001 must confirm.</t>
        </is>
      </c>
    </row>
    <row r="7" ht="26" customHeight="1">
      <c r="A7" s="5" t="inlineStr">
        <is>
          <t>Billable utilisation</t>
        </is>
      </c>
      <c r="B7" s="24">
        <f>Drivers!$B$10</f>
        <v/>
      </c>
      <c r="C7" s="9" t="inlineStr">
        <is>
          <t>ASM-013. Low confidence, no published benchmark.</t>
        </is>
      </c>
    </row>
    <row r="8" ht="26" customHeight="1">
      <c r="A8" s="5" t="inlineStr">
        <is>
          <t>Billable hours per month</t>
        </is>
      </c>
      <c r="B8" s="27">
        <f>Drivers!$B$11*Drivers!$B$10*52/12</f>
        <v/>
      </c>
      <c r="C8" s="9" t="inlineStr">
        <is>
          <t>Weekly billable hours annualised then monthly.</t>
        </is>
      </c>
    </row>
    <row r="9" ht="26" customHeight="1">
      <c r="A9" s="5" t="inlineStr">
        <is>
          <t>Revenue per month</t>
        </is>
      </c>
      <c r="B9" s="23">
        <f>B8*Inputs!$B$7</f>
        <v/>
      </c>
      <c r="C9" s="9" t="inlineStr">
        <is>
          <t>Hours multiplied by the price limit.</t>
        </is>
      </c>
    </row>
    <row r="10" ht="26" customHeight="1">
      <c r="A10" s="5" t="inlineStr">
        <is>
          <t>Fixed costs per month</t>
        </is>
      </c>
      <c r="B10" s="23">
        <f>Costs!$C$28</f>
        <v/>
      </c>
      <c r="C10" s="9" t="inlineStr">
        <is>
          <t>Same fixed base as core supports.</t>
        </is>
      </c>
    </row>
    <row r="11" ht="26" customHeight="1">
      <c r="A11" s="4" t="inlineStr">
        <is>
          <t>NET CASH PER MONTH</t>
        </is>
      </c>
      <c r="B11" s="19">
        <f>B9-B10</f>
        <v/>
      </c>
      <c r="C11" s="9" t="inlineStr">
        <is>
          <t>Before tax and before any drawing.</t>
        </is>
      </c>
    </row>
    <row r="12" ht="26" customHeight="1">
      <c r="A12" s="4" t="inlineStr">
        <is>
          <t>NET CASH PER YEAR</t>
        </is>
      </c>
      <c r="B12" s="19">
        <f>B11*12</f>
        <v/>
      </c>
      <c r="C12" s="9" t="inlineStr">
        <is>
          <t>This is what the owner earns. Compare it to the core-supports scenarios.</t>
        </is>
      </c>
    </row>
    <row r="13" ht="26" customHeight="1">
      <c r="A13" s="5" t="inlineStr">
        <is>
          <t>Break-even billable hours per month</t>
        </is>
      </c>
      <c r="B13" s="27">
        <f>Costs!$C$28/Inputs!$B$7</f>
        <v/>
      </c>
      <c r="C13" s="9" t="inlineStr">
        <is>
          <t>Very low, because there is no direct labour cost. Utilisation, not volume, is the constraint.</t>
        </is>
      </c>
    </row>
    <row r="14" ht="26" customHeight="1">
      <c r="A14" s="5" t="inlineStr">
        <is>
          <t>One-off setup, no registration and no workers</t>
        </is>
      </c>
      <c r="B14" s="23">
        <f>636+108+Drivers!$B$9+139.2+290</f>
        <v/>
      </c>
      <c r="C14" s="9" t="inlineStr">
        <is>
          <t>No audit and no policy manual, because mandatory registration for support coordination is currently PAUSED (SRC-018).</t>
        </is>
      </c>
    </row>
    <row r="16">
      <c r="A16" s="14" t="inlineStr">
        <is>
          <t>UTILISATION SENSITIVITY</t>
        </is>
      </c>
      <c r="B16" s="21" t="n"/>
      <c r="C16" s="22" t="n"/>
    </row>
    <row r="17" ht="28" customHeight="1">
      <c r="A17" s="3" t="inlineStr">
        <is>
          <t>Utilisation</t>
        </is>
      </c>
      <c r="B17" s="3" t="inlineStr">
        <is>
          <t>Net cash per year</t>
        </is>
      </c>
      <c r="C17" s="3" t="inlineStr">
        <is>
          <t>Billable hours per month</t>
        </is>
      </c>
    </row>
    <row r="18">
      <c r="A18" s="10" t="n">
        <v>0.25</v>
      </c>
      <c r="B18" s="16">
        <f>(Drivers!$B$11*A18*52/12*Inputs!$B$7-Costs!$C$28)*12</f>
        <v/>
      </c>
      <c r="C18" s="27">
        <f>Drivers!$B$11*A18*52/12</f>
        <v/>
      </c>
    </row>
    <row r="19">
      <c r="A19" s="10" t="n">
        <v>0.35</v>
      </c>
      <c r="B19" s="16">
        <f>(Drivers!$B$11*A19*52/12*Inputs!$B$7-Costs!$C$28)*12</f>
        <v/>
      </c>
      <c r="C19" s="27">
        <f>Drivers!$B$11*A19*52/12</f>
        <v/>
      </c>
    </row>
    <row r="20">
      <c r="A20" s="10" t="n">
        <v>0.45</v>
      </c>
      <c r="B20" s="16">
        <f>(Drivers!$B$11*A20*52/12*Inputs!$B$7-Costs!$C$28)*12</f>
        <v/>
      </c>
      <c r="C20" s="27">
        <f>Drivers!$B$11*A20*52/12</f>
        <v/>
      </c>
    </row>
    <row r="21">
      <c r="A21" s="10" t="n">
        <v>0.55</v>
      </c>
      <c r="B21" s="16">
        <f>(Drivers!$B$11*A21*52/12*Inputs!$B$7-Costs!$C$28)*12</f>
        <v/>
      </c>
      <c r="C21" s="27">
        <f>Drivers!$B$11*A21*52/12</f>
        <v/>
      </c>
    </row>
    <row r="22">
      <c r="A22" s="10" t="n">
        <v>0.65</v>
      </c>
      <c r="B22" s="16">
        <f>(Drivers!$B$11*A22*52/12*Inputs!$B$7-Costs!$C$28)*12</f>
        <v/>
      </c>
      <c r="C22" s="27">
        <f>Drivers!$B$11*A22*52/12</f>
        <v/>
      </c>
    </row>
    <row r="23">
      <c r="A23" s="10" t="n">
        <v>0.75</v>
      </c>
      <c r="B23" s="16">
        <f>(Drivers!$B$11*A23*52/12*Inputs!$B$7-Costs!$C$28)*12</f>
        <v/>
      </c>
      <c r="C23" s="27">
        <f>Drivers!$B$11*A23*52/12</f>
        <v/>
      </c>
    </row>
    <row r="25" ht="56" customHeight="1">
      <c r="A25" s="20" t="inlineStr">
        <is>
          <t>THE TRADE. This model earns more, on less capital, with no staff. Against that: the NDIS Review recommended restructuring support coordination into a navigator model, and that design and pilot work runs through 2026-2028 with the funding mechanism intended to change (SRC-049, RSK-003). You would be building on the one service line government has said it intends to redesign.</t>
        </is>
      </c>
      <c r="B25" s="21" t="n"/>
      <c r="C25" s="22" t="n"/>
    </row>
  </sheetData>
  <mergeCells count="4">
    <mergeCell ref="A1:C1"/>
    <mergeCell ref="A16:C16"/>
    <mergeCell ref="A2:C2"/>
    <mergeCell ref="A25:C25"/>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64" customWidth="1" min="1" max="1"/>
    <col width="18" customWidth="1" min="2" max="2"/>
    <col width="16" customWidth="1" min="3" max="3"/>
    <col width="56" customWidth="1" min="4" max="4"/>
  </cols>
  <sheetData>
    <row r="1">
      <c r="A1" s="1" t="inlineStr">
        <is>
          <t>What breaks the margin</t>
        </is>
      </c>
    </row>
    <row r="2">
      <c r="A2" s="2" t="inlineStr">
        <is>
          <t>Each row changes ONE assumption and leaves everything else alone. Ranked by how much damage it does.</t>
        </is>
      </c>
    </row>
    <row r="4" ht="28" customHeight="1">
      <c r="A4" s="3" t="inlineStr">
        <is>
          <t>If this assumption is wrong</t>
        </is>
      </c>
      <c r="B4" s="3" t="inlineStr">
        <is>
          <t>Gross margin per hour</t>
        </is>
      </c>
      <c r="C4" s="3" t="inlineStr">
        <is>
          <t>Change</t>
        </is>
      </c>
      <c r="D4" s="3" t="inlineStr">
        <is>
          <t>Which assumption</t>
        </is>
      </c>
    </row>
    <row r="5" ht="28" customHeight="1">
      <c r="A5" s="5" t="inlineStr">
        <is>
          <t>Nothing is wrong — base case as sourced</t>
        </is>
      </c>
      <c r="B5" s="31">
        <f>UnitEconomics!$B$16</f>
        <v/>
      </c>
      <c r="C5" s="23" t="inlineStr">
        <is>
          <t>-</t>
        </is>
      </c>
      <c r="D5" s="9" t="inlineStr">
        <is>
          <t>Base</t>
        </is>
      </c>
    </row>
    <row r="6" ht="28" customHeight="1">
      <c r="A6" s="5" t="inlineStr">
        <is>
          <t>Administration is paid and runs at 0.40 hr per billable hour</t>
        </is>
      </c>
      <c r="B6" s="31">
        <f>UnitEconomics!$B$16-Inputs!$B$9*(1+Inputs!$B$10+Inputs!$B$11+Inputs!$B$12)*0.4</f>
        <v/>
      </c>
      <c r="C6" s="23">
        <f>B6-$B$5</f>
        <v/>
      </c>
      <c r="D6" s="9" t="inlineStr">
        <is>
          <t>ASM-008 — the model's most dangerous assumption. This turns the margin NEGATIVE.</t>
        </is>
      </c>
    </row>
    <row r="7" ht="28" customHeight="1">
      <c r="A7" s="5" t="inlineStr">
        <is>
          <t>Administration is paid at the assumed 0.25 hr per billable hour</t>
        </is>
      </c>
      <c r="B7" s="31">
        <f>UnitEconomics!$B$14</f>
        <v/>
      </c>
      <c r="C7" s="23">
        <f>B7-$B$5</f>
        <v/>
      </c>
      <c r="D7" s="9" t="inlineStr">
        <is>
          <t>ASM-008</t>
        </is>
      </c>
    </row>
    <row r="8" ht="28" customHeight="1">
      <c r="A8" s="5" t="inlineStr">
        <is>
          <t>Workers sit at SACS Level 3, not Level 2</t>
        </is>
      </c>
      <c r="B8" s="31">
        <f>Inputs!$B$5-Inputs!$B$9*(1+Inputs!$B$10+Inputs!$B$11+Inputs!$B$12+Inputs!$B$13)</f>
        <v/>
      </c>
      <c r="C8" s="23">
        <f>B8-$B$5</f>
        <v/>
      </c>
      <c r="D8" s="9" t="inlineStr">
        <is>
          <t>ASM-002 — the award schedule could not be read; fairwork.gov.au is robots-blocked.</t>
        </is>
      </c>
    </row>
    <row r="9" ht="28" customHeight="1">
      <c r="A9" s="5" t="inlineStr">
        <is>
          <t>The business crosses the Victorian payroll tax threshold</t>
        </is>
      </c>
      <c r="B9" s="31">
        <f>Inputs!$B$5-Inputs!$B$8*(1+Inputs!$B$10+Inputs!$B$11+Inputs!$B$12+0.0485)</f>
        <v/>
      </c>
      <c r="C9" s="23">
        <f>B9-$B$5</f>
        <v/>
      </c>
      <c r="D9" s="9" t="inlineStr">
        <is>
          <t>ASM-003 — the threshold itself could not be confirmed.</t>
        </is>
      </c>
    </row>
    <row r="10" ht="28" customHeight="1">
      <c r="A10" s="5" t="inlineStr">
        <is>
          <t>The disability-sector WorkCover rate is 3.0%, not the 1.8% state average</t>
        </is>
      </c>
      <c r="B10" s="31">
        <f>Inputs!$B$5-Inputs!$B$8*(1+Inputs!$B$10+0.03+Inputs!$B$12+Inputs!$B$13)</f>
        <v/>
      </c>
      <c r="C10" s="23">
        <f>B10-$B$5</f>
        <v/>
      </c>
      <c r="D10" s="9" t="inlineStr">
        <is>
          <t>ASM-004 — the industry rate sits in a Special Gazette that could not be read.</t>
        </is>
      </c>
    </row>
    <row r="12" ht="56" customHeight="1">
      <c r="A12" s="20" t="inlineStr">
        <is>
          <t>Read the second row. There is a plausible, unfalsified version of this business in which every hour of core support you sell LOSES money. Nothing in the sourced evidence rules it out, because no source publishes an administration-hours benchmark. Closing ASM-008 with real data from an operating provider is the single highest-value thing you can do before committing capital.</t>
        </is>
      </c>
      <c r="B12" s="21" t="n"/>
      <c r="C12" s="21" t="n"/>
      <c r="D12" s="22" t="n"/>
    </row>
  </sheetData>
  <mergeCells count="3">
    <mergeCell ref="A1:D1"/>
    <mergeCell ref="A12:D12"/>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2026-09-02T03:18:01Z</dcterms:created>
  <dcterms:modified xmlns:dcterms="http://purl.org/dc/terms/" xmlns:xsi="http://www.w3.org/2001/XMLSchema-instance" xsi:type="dcterms:W3CDTF">2026-09-02T03:18:01Z</dcterms:modified>
</cp:coreProperties>
</file>