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Inputs" sheetId="2" state="visible" r:id="rId4"/>
    <sheet name="Drivers" sheetId="3" state="visible" r:id="rId5"/>
    <sheet name="Costs" sheetId="4" state="visible" r:id="rId6"/>
    <sheet name="UnitEconomics" sheetId="5" state="visible" r:id="rId7"/>
    <sheet name="BreakEven" sheetId="6" state="visible" r:id="rId8"/>
    <sheet name="Scenarios" sheetId="7" state="visible" r:id="rId9"/>
    <sheet name="SupportCoordination" sheetId="8" state="visible" r:id="rId10"/>
    <sheet name="Sensitivity" sheetId="9" state="visible" r:id="rId11"/>
    <sheet name="AC_Inputs" sheetId="10" state="visible" r:id="rId12"/>
    <sheet name="AC_ClientEconomics" sheetId="11" state="visible" r:id="rId13"/>
    <sheet name="Structure" sheetId="12" state="visible" r:id="rId14"/>
    <sheet name="TradeStudy3" sheetId="13" state="visible" r:id="rId15"/>
    <sheet name="Combined"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<sst xmlns="http://schemas.openxmlformats.org/spreadsheetml/2006/main" count="606" uniqueCount="422">
  <si>
    <t xml:space="preserve">NDIS and Aged Care Business Enabling Study — Financial Model  v2.0.0</t>
  </si>
  <si>
    <t xml:space="preserve">OWNER: 01_System/build_financial_model.py. REVIEW: regenerate whenever model_params.py or model_agedcare.py changes. Generated 2026-09-07. Do not hand-edit (GOV-D4.11).</t>
  </si>
  <si>
    <t xml:space="preserve">How this workbook works</t>
  </si>
  <si>
    <t xml:space="preserve">WHAT THIS MODEL DOES</t>
  </si>
  <si>
    <t xml:space="preserve">Turns the sourced NDIS price limits and the sourced SCHADS wage into a margin per billable hour, then into a break-even volume, a twelve-month cash curve and a runway figure.</t>
  </si>
  <si>
    <t xml:space="preserve">HOW TO USE IT</t>
  </si>
  <si>
    <t xml:space="preserve">Change a value in the Drivers sheet. Every downstream number recomputes. Nothing in this workbook is a typed-in result EXCEPT the two comparison sheets named below.</t>
  </si>
  <si>
    <t xml:space="preserve">WHERE THE FORMULAS STOP</t>
  </si>
  <si>
    <t xml:space="preserve">Structure B5:C6 and Combined B5:C9 hold values projected from the two Python models rather than cell formulas, because they compare figures whose components live in model_agedcare.py and model_params.py rather than on any sheet here. Their DIFFERENCE and TOTAL columns ARE formulas, so the comparisons recompute. Checker C37 reconciles the projected values against the models to the cent on every build, and independent verification V6 raised the earlier blanket claim that nothing here is typed in.</t>
  </si>
  <si>
    <t xml:space="preserve">COLOUR LEGEND</t>
  </si>
  <si>
    <t xml:space="preserve">BLUE text  = a hard input taken from a source. The SRC-### beside it names that source.
YELLOW fill = an assumption, not a fact. The ASM-### beside it says what breaks if it is wrong. These are the cells to challenge first.
BLACK text = a formula. Do not overwrite it.</t>
  </si>
  <si>
    <t xml:space="preserve">THE ONE THING TO READ FIRST</t>
  </si>
  <si>
    <t xml:space="preserve">UnitEconomics, row 'Contribution if administration is PAID'. If that number is small, the business only works while you personally do the rostering, notes and invoicing for nothing. That is the finding, not the margin.</t>
  </si>
  <si>
    <t xml:space="preserve">WHAT THIS MODEL DOES NOT DO</t>
  </si>
  <si>
    <t xml:space="preserve">It does not model weekend or public holiday work: no arithmetically consistent SCHADS casual penalty rate could be sourced (DEF-003, BKL-002). It does not model SIL or SDA: no property parameters were supplied (BKL-005). It excludes payroll tax on the assumption the business stays below the Victorian threshold (ASM-003). It excludes income tax and GST entirely.</t>
  </si>
  <si>
    <t xml:space="preserve">CURRENCY</t>
  </si>
  <si>
    <t xml:space="preserve">This model rests on 74 sources across 2 research waves: 53 verified 2026-08-20, 21 verified 2026-09-07. The currency date is 2026-09-07 and every source sits inside the ninety-day staleness window REQ-CON-03 sets. Under GOV-F1.16 a citation is stale twelve months after it was verified, so the FIRST source to expire does so on 2027-08-20 (BKL-006). Re-verify before then, not after.</t>
  </si>
  <si>
    <t xml:space="preserve">NOT ADVICE</t>
  </si>
  <si>
    <t xml:space="preserve">This is a decision-support model, not financial, tax or legal advice.</t>
  </si>
  <si>
    <t xml:space="preserve">Sourced rate inputs</t>
  </si>
  <si>
    <t xml:space="preserve">BLUE = a hard number taken from a named source. Change one only if you have a better source, and update the Source column when you do.</t>
  </si>
  <si>
    <t xml:space="preserve">Input</t>
  </si>
  <si>
    <t xml:space="preserve">Value</t>
  </si>
  <si>
    <t xml:space="preserve">Unit</t>
  </si>
  <si>
    <t xml:space="preserve">Source</t>
  </si>
  <si>
    <t xml:space="preserve">Confidence</t>
  </si>
  <si>
    <t xml:space="preserve">Why the confidence is not High</t>
  </si>
  <si>
    <t xml:space="preserve">NDIS price limit — self-care, weekday daytime (01_011_0107_1_1)</t>
  </si>
  <si>
    <t xml:space="preserve">AUD/hr</t>
  </si>
  <si>
    <t xml:space="preserve">SRC-002</t>
  </si>
  <si>
    <t xml:space="preserve">Medium</t>
  </si>
  <si>
    <t xml:space="preserve">Read from a 65-page PDF through a summarising fetch, not a raw table. RSK-007. BKL-001 closes this.</t>
  </si>
  <si>
    <t xml:space="preserve">NDIS price limit — community participation, weekday (04_104_0125_6_1)</t>
  </si>
  <si>
    <t xml:space="preserve">SRC-004</t>
  </si>
  <si>
    <t xml:space="preserve">Same extraction caveat.</t>
  </si>
  <si>
    <t xml:space="preserve">NDIS price limit — support coordination Level 2 (07_002_0106_8_3)</t>
  </si>
  <si>
    <t xml:space="preserve">SRC-005</t>
  </si>
  <si>
    <t xml:space="preserve">SCHADS SACS Level 2 casual hourly rate</t>
  </si>
  <si>
    <t xml:space="preserve">SRC-009</t>
  </si>
  <si>
    <t xml:space="preserve">fairwork.gov.au blocks automated fetching. Two independent payroll calculators agree exactly, but no first-party read was achieved. ISS-001.</t>
  </si>
  <si>
    <t xml:space="preserve">SCHADS SACS Level 3 casual hourly rate (used for administration)</t>
  </si>
  <si>
    <t xml:space="preserve">Same. ISS-001.</t>
  </si>
  <si>
    <t xml:space="preserve">Superannuation guarantee, FY2026-27</t>
  </si>
  <si>
    <t xml:space="preserve">rate</t>
  </si>
  <si>
    <t xml:space="preserve">SRC-011</t>
  </si>
  <si>
    <t xml:space="preserve">High</t>
  </si>
  <si>
    <t xml:space="preserve">-</t>
  </si>
  <si>
    <t xml:space="preserve">WorkCover premium, Victorian state average 2026-27</t>
  </si>
  <si>
    <t xml:space="preserve">SRC-012</t>
  </si>
  <si>
    <t xml:space="preserve">State average across all industries. The disability-sector rate sits in a Special Gazette that could not be read. ASM-004.</t>
  </si>
  <si>
    <t xml:space="preserve">Portable long service leave levy, Victorian community services</t>
  </si>
  <si>
    <t xml:space="preserve">SRC-013</t>
  </si>
  <si>
    <t xml:space="preserve">Payroll tax, Victoria — assumed not payable below threshold</t>
  </si>
  <si>
    <t xml:space="preserve">ASM-003</t>
  </si>
  <si>
    <t xml:space="preserve">The threshold itself could not be confirmed from a primary source. Set this to 0.0485 to test crossing it.</t>
  </si>
  <si>
    <t xml:space="preserve">Drivers — these are ASSUMPTIONS, not facts</t>
  </si>
  <si>
    <t xml:space="preserve">YELLOW cells are the ones to argue with. Each names the ASM-### that states what breaks if it is wrong. Change one and every sheet downstream recomputes.</t>
  </si>
  <si>
    <t xml:space="preserve">Driver</t>
  </si>
  <si>
    <t xml:space="preserve">ASM</t>
  </si>
  <si>
    <t xml:space="preserve">What happens if this is wrong</t>
  </si>
  <si>
    <t xml:space="preserve">Administration hours required per billable hour</t>
  </si>
  <si>
    <t xml:space="preserve">hr</t>
  </si>
  <si>
    <t xml:space="preserve">ASM-008</t>
  </si>
  <si>
    <t xml:space="preserve">Low</t>
  </si>
  <si>
    <t xml:space="preserve">The single most important number in this model. At 0.40 the core-supports margin turns NEGATIVE. No published benchmark exists.</t>
  </si>
  <si>
    <t xml:space="preserve">Payment lag from invoice to cash</t>
  </si>
  <si>
    <t xml:space="preserve">days</t>
  </si>
  <si>
    <t xml:space="preserve">ASM-007</t>
  </si>
  <si>
    <t xml:space="preserve">Sets the working capital figure. At 30 days it roughly doubles.</t>
  </si>
  <si>
    <t xml:space="preserve">Bookkeeping and accounting</t>
  </si>
  <si>
    <t xml:space="preserve">AUD/mo</t>
  </si>
  <si>
    <t xml:space="preserve">ASM-005</t>
  </si>
  <si>
    <t xml:space="preserve">No vendor publishes a price. Every $100 of error moves break-even by about five billable hours a month.</t>
  </si>
  <si>
    <t xml:space="preserve">General operating overhead — phone, internet, memberships, travel</t>
  </si>
  <si>
    <t xml:space="preserve">ASM-014</t>
  </si>
  <si>
    <t xml:space="preserve">Same sensitivity as bookkeeping.</t>
  </si>
  <si>
    <t xml:space="preserve">Website and brand, one-off</t>
  </si>
  <si>
    <t xml:space="preserve">AUD</t>
  </si>
  <si>
    <t xml:space="preserve">ASM-006</t>
  </si>
  <si>
    <t xml:space="preserve">The published Australian range is $3,500 to $30,000. A lean single-operator build is assumed.</t>
  </si>
  <si>
    <t xml:space="preserve">Support coordination billable utilisation</t>
  </si>
  <si>
    <t xml:space="preserve">ASM-013</t>
  </si>
  <si>
    <t xml:space="preserve">Drives the entire support coordination result. At 0.35 annual net falls from about $99,000 to about $59,000.</t>
  </si>
  <si>
    <t xml:space="preserve">Hours available per week if you work the business full time</t>
  </si>
  <si>
    <t xml:space="preserve">ASM-011</t>
  </si>
  <si>
    <t xml:space="preserve">Assumes owner-operator. ACT-001 must confirm this.</t>
  </si>
  <si>
    <t xml:space="preserve">Support workers screened and trained before the first shift</t>
  </si>
  <si>
    <t xml:space="preserve">count</t>
  </si>
  <si>
    <t xml:space="preserve">Scales the per-worker setup cost of about $429 each.</t>
  </si>
  <si>
    <t xml:space="preserve">Owner drawings per month, base case</t>
  </si>
  <si>
    <t xml:space="preserve">ASM-012</t>
  </si>
  <si>
    <t xml:space="preserve">Set to zero deliberately. ACT-002 must supply the real number. Every scenario in this model assumes you work for nothing until you change this.</t>
  </si>
  <si>
    <t xml:space="preserve">Target billable hours per month at steady state</t>
  </si>
  <si>
    <t xml:space="preserve">Used for the working capital calculation. About 4.6 participants at 15 hours a week each.</t>
  </si>
  <si>
    <t xml:space="preserve">Cost stack</t>
  </si>
  <si>
    <t xml:space="preserve">One-off, recurring monthly and recurring annual. Every line names its source. Where no vendor publishes a price, the line names the ASM instead and the confidence is Low.</t>
  </si>
  <si>
    <t xml:space="preserve">Cost line</t>
  </si>
  <si>
    <t xml:space="preserve">Base</t>
  </si>
  <si>
    <t xml:space="preserve">Note</t>
  </si>
  <si>
    <t xml:space="preserve">ONE-OFF SETUP</t>
  </si>
  <si>
    <t xml:space="preserve">ASIC Pty Ltd company registration</t>
  </si>
  <si>
    <t xml:space="preserve">SRC-025</t>
  </si>
  <si>
    <t xml:space="preserve">Secondary summary of ASIC's fee.</t>
  </si>
  <si>
    <t xml:space="preserve">ASIC business name, three years</t>
  </si>
  <si>
    <t xml:space="preserve">SRC-027</t>
  </si>
  <si>
    <t xml:space="preserve">Secondary summary.</t>
  </si>
  <si>
    <t xml:space="preserve">ABN, TFN, GST and PAYG registration</t>
  </si>
  <si>
    <t xml:space="preserve">SRC-028</t>
  </si>
  <si>
    <t xml:space="preserve">Free. Instant, or up to 20 business days if referred.</t>
  </si>
  <si>
    <t xml:space="preserve">myID Strong and RAM setup</t>
  </si>
  <si>
    <t xml:space="preserve">SRC-030</t>
  </si>
  <si>
    <t xml:space="preserve">Free. PRODA closes for Commission portals 30 Sep 2026.</t>
  </si>
  <si>
    <t xml:space="preserve">Policy and procedure manual, verification pack</t>
  </si>
  <si>
    <t xml:space="preserve">SRC-036</t>
  </si>
  <si>
    <t xml:space="preserve">Two vendors publish prices.</t>
  </si>
  <si>
    <t xml:space="preserve">Verification audit fee</t>
  </si>
  <si>
    <t xml:space="preserve">SRC-034</t>
  </si>
  <si>
    <t xml:space="preserve">A consultancy's estimate. NO Approved Quality Auditor publishes a rate card. ACT-007 replaces this with two real quotes.</t>
  </si>
  <si>
    <t xml:space="preserve">Website and brand (from Drivers)</t>
  </si>
  <si>
    <t xml:space="preserve">Published Australian range is $3,500 to $30,000. This model assumes a lean build.</t>
  </si>
  <si>
    <t xml:space="preserve">Per-worker setup: screening $139.20 + first aid and CPR $290</t>
  </si>
  <si>
    <t xml:space="preserve">SRC-031, SRC-041</t>
  </si>
  <si>
    <t xml:space="preserve">Scales with the worker count in Drivers, plus you. Orientation module is free (SRC-042).</t>
  </si>
  <si>
    <t xml:space="preserve">TOTAL ONE-OFF SETUP</t>
  </si>
  <si>
    <t xml:space="preserve">RECURRING MONTHLY</t>
  </si>
  <si>
    <t xml:space="preserve">CRM and rostering (ShiftCare Essentials, 5-staff minimum)</t>
  </si>
  <si>
    <t xml:space="preserve">SRC-037</t>
  </si>
  <si>
    <t xml:space="preserve">Vendor's published pricing.</t>
  </si>
  <si>
    <t xml:space="preserve">Accounting and payroll (Xero)</t>
  </si>
  <si>
    <t xml:space="preserve">SRC-038</t>
  </si>
  <si>
    <t xml:space="preserve">Bookkeeping  (base cell is the Drivers value)</t>
  </si>
  <si>
    <t xml:space="preserve">No vendor publishes a price. Low and high are the plausible band; the base column is wired to the Drivers sheet so changing the driver moves the base case.</t>
  </si>
  <si>
    <t xml:space="preserve">General operating overhead  (base cell is the Drivers value)</t>
  </si>
  <si>
    <t xml:space="preserve">No vendor publishes a price. Same structure: low and high bound it, the driver sets the base.</t>
  </si>
  <si>
    <t xml:space="preserve">SUBTOTAL MONTHLY</t>
  </si>
  <si>
    <t xml:space="preserve">RECURRING ANNUAL</t>
  </si>
  <si>
    <t xml:space="preserve">ASIC company annual review</t>
  </si>
  <si>
    <t xml:space="preserve">SRC-026</t>
  </si>
  <si>
    <t xml:space="preserve">Insurance: public liability, professional indemnity, personal accident</t>
  </si>
  <si>
    <t xml:space="preserve">SRC-040</t>
  </si>
  <si>
    <t xml:space="preserve">One broker's marketing page, no named underwriter. Management liability has NO published price anywhere. ACT-008.</t>
  </si>
  <si>
    <t xml:space="preserve">SUBTOTAL ANNUAL</t>
  </si>
  <si>
    <t xml:space="preserve">TOTAL FIXED COST PER MONTH  (monthly subtotal + annual subtotal / 12)</t>
  </si>
  <si>
    <t xml:space="preserve">NOT INCLUDED — no published price could be found for any of these</t>
  </si>
  <si>
    <t xml:space="preserve">  .  NDIS Commission's own application or certificate fee, if one exists — ACT-006 resolves this</t>
  </si>
  <si>
    <t xml:space="preserve">  .  Management liability insurance — no published figure exists for a small Australian disability business</t>
  </si>
  <si>
    <t xml:space="preserve">  .  Mid-term surveillance audit at about 18 months, estimated at 60-70% of the initial audit fee (SRC-034)</t>
  </si>
  <si>
    <t xml:space="preserve">  .  Payroll tax, if the business crosses the Victorian threshold (ASM-003)</t>
  </si>
  <si>
    <t xml:space="preserve">  .  Income tax, GST remittance, and any consultant engaged to run the registration</t>
  </si>
  <si>
    <t xml:space="preserve">Unit economics — one billable hour of core support</t>
  </si>
  <si>
    <t xml:space="preserve">This is the whole business in eight rows. Read the last two together.</t>
  </si>
  <si>
    <t xml:space="preserve">Line</t>
  </si>
  <si>
    <t xml:space="preserve">AUD per hour</t>
  </si>
  <si>
    <t xml:space="preserve">% of price</t>
  </si>
  <si>
    <t xml:space="preserve">What it means</t>
  </si>
  <si>
    <t xml:space="preserve">NDIS price limit, weekday daytime</t>
  </si>
  <si>
    <t xml:space="preserve">SRC-002 — The most you may charge for one hour. It is a ceiling, not a target.</t>
  </si>
  <si>
    <t xml:space="preserve">Casual support worker wage, SACS Level 2</t>
  </si>
  <si>
    <t xml:space="preserve">SRC-009 — Includes the 25% casual loading paid in lieu of leave.</t>
  </si>
  <si>
    <t xml:space="preserve">Superannuation</t>
  </si>
  <si>
    <t xml:space="preserve">SRC-011 — 12.00% for FY2026-27.</t>
  </si>
  <si>
    <t xml:space="preserve">WorkCover premium</t>
  </si>
  <si>
    <t xml:space="preserve">SRC-012 — Victorian state average. The sector rate may be higher.</t>
  </si>
  <si>
    <t xml:space="preserve">Portable long service leave levy</t>
  </si>
  <si>
    <t xml:space="preserve">SRC-013 — 1.65%. Victoria-specific, covers NDIS-funded work, and it is the on-cost most often forgotten.</t>
  </si>
  <si>
    <t xml:space="preserve">Payroll tax</t>
  </si>
  <si>
    <t xml:space="preserve">ASM-003 — Zero while below the Victorian threshold.</t>
  </si>
  <si>
    <t xml:space="preserve">GROSS MARGIN PER BILLABLE HOUR</t>
  </si>
  <si>
    <t xml:space="preserve">Before ANY overhead. This is not profit.</t>
  </si>
  <si>
    <t xml:space="preserve">Administration, if you pay someone to do it</t>
  </si>
  <si>
    <t xml:space="preserve">A coordinator at SACS Level 3, fully loaded, for 0.25 of an hour per billable hour (ASM-008).</t>
  </si>
  <si>
    <t xml:space="preserve">CONTRIBUTION IF ADMINISTRATION IS PAID</t>
  </si>
  <si>
    <t xml:space="preserve">READ THIS ROW FIRST. If it is small or negative, the business only works while you do the administration yourself for nothing.</t>
  </si>
  <si>
    <t xml:space="preserve">CONTRIBUTION IF YOU DO THE ADMINISTRATION</t>
  </si>
  <si>
    <t xml:space="preserve">Costs no cash, but caps how many participants one person can carry.</t>
  </si>
  <si>
    <t xml:space="preserve">Sector reality check: National Disability Services reported about half of NDIS providers were loss-making in 2024-25 and 81% said current pricing is unsustainable (SRC-046). The rows above are the arithmetic behind that finding. The price is not the problem; the administration load is.</t>
  </si>
  <si>
    <t xml:space="preserve">Break-even and working capital</t>
  </si>
  <si>
    <t xml:space="preserve">Break-even is fixed cost divided by contribution per hour. Working capital is the cash that must sit behind the wage cycle permanently.</t>
  </si>
  <si>
    <t xml:space="preserve">Measure</t>
  </si>
  <si>
    <t xml:space="preserve">How it is calculated and what it means</t>
  </si>
  <si>
    <t xml:space="preserve">Fixed cost per month (base case)</t>
  </si>
  <si>
    <t xml:space="preserve">From the Costs sheet: monthly subtotal plus one twelfth of the annual subtotal.</t>
  </si>
  <si>
    <t xml:space="preserve">Break-even billable hours per month — you do the administration</t>
  </si>
  <si>
    <t xml:space="preserve">Fixed cost divided by contribution. About 0.6 of one participant using 15 hours a week.</t>
  </si>
  <si>
    <t xml:space="preserve">Break-even billable hours per month — administration is paid</t>
  </si>
  <si>
    <t xml:space="preserve">The same fixed cost against a much thinner contribution. About two participants.</t>
  </si>
  <si>
    <t xml:space="preserve">Billable hours to draw $5,000 a month — you do the administration</t>
  </si>
  <si>
    <t xml:space="preserve">About four participants at 15 hours a week, and roughly four to six support workers to deliver it.</t>
  </si>
  <si>
    <t xml:space="preserve">Billable hours to draw $5,000 a month — administration is paid</t>
  </si>
  <si>
    <t xml:space="preserve">If this number looks impossible for a new business, that is the finding.</t>
  </si>
  <si>
    <t xml:space="preserve">Target billable hours per month (from Drivers)</t>
  </si>
  <si>
    <t xml:space="preserve">About 4.6 participants at 15 hours a week.</t>
  </si>
  <si>
    <t xml:space="preserve">Monthly wage bill at target volume</t>
  </si>
  <si>
    <t xml:space="preserve">Fully loaded. This leaves your account before any invoice is paid.</t>
  </si>
  <si>
    <t xml:space="preserve">WORKING CAPITAL REQUIRED at the assumed payment lag</t>
  </si>
  <si>
    <t xml:space="preserve">Wages multiplied by the payment lag as a fraction of a month. Ring-fence this. It is SEPARATE from setup capital and it grows every time you win a participant.</t>
  </si>
  <si>
    <t xml:space="preserve">Working capital at a 30-day lag instead</t>
  </si>
  <si>
    <t xml:space="preserve">The prior working files omitted working capital entirely (DEF-001). This is the line that omission hid.</t>
  </si>
  <si>
    <t xml:space="preserve">Twelve-month cash, three scenarios</t>
  </si>
  <si>
    <t xml:space="preserve">All three assume you draw the amount set in Drivers (currently zero). Change that driver and every scenario recomputes.</t>
  </si>
  <si>
    <t xml:space="preserve">BASE: first client month 4, you do the administration</t>
  </si>
  <si>
    <t xml:space="preserve">Month</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</si>
  <si>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</si>
  <si>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</si>
  <si>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</si>
  <si>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</si>
  <si>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</si>
  <si>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</si>
  <si>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</si>
  <si>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</si>
  <si>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</si>
  <si>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</si>
  <si>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</si>
  <si>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</si>
  <si>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Year 1</t>
  </si>
  <si>
    <t xml:space="preserve">Billable hours</t>
  </si>
  <si>
    <t xml:space="preserve">Revenue</t>
  </si>
  <si>
    <t xml:space="preserve">Contribution</t>
  </si>
  <si>
    <t xml:space="preserve">Fixed costs</t>
  </si>
  <si>
    <t xml:space="preserve">Owner drawings</t>
  </si>
  <si>
    <t xml:space="preserve">Net cash in the month</t>
  </si>
  <si>
    <t xml:space="preserve">CUMULATIVE CASH</t>
  </si>
  <si>
    <t xml:space="preserve">Deepest cash hole in the year (column N above)</t>
  </si>
  <si>
    <t xml:space="preserve">SLOW: first client month 7, you do the administration</t>
  </si>
  <si>
    <t xml:space="preserve">PAID ADMIN: base ramp, but administration is paid</t>
  </si>
  <si>
    <t xml:space="preserve">DOWNSIDE: no participant at all for twelve months</t>
  </si>
  <si>
    <t xml:space="preserve">Month 1 already carries the full one-off setup cost, which is why every cumulative row starts negative. The DOWNSIDE row is REQ-SYS-07: it is the cash you must be willing to lose if no participant ever arrives.</t>
  </si>
  <si>
    <t xml:space="preserve">Support coordination delivered by you personally</t>
  </si>
  <si>
    <t xml:space="preserve">No support workers, no wage cycle, no working capital gap. The only driver that matters is billable utilisation.</t>
  </si>
  <si>
    <t xml:space="preserve">Price limit, Support Coordination Level 2</t>
  </si>
  <si>
    <t xml:space="preserve">SRC-005.</t>
  </si>
  <si>
    <t xml:space="preserve">Hours available per week</t>
  </si>
  <si>
    <t xml:space="preserve">ASM-011. Assumes owner-operator. ACT-001 must confirm.</t>
  </si>
  <si>
    <t xml:space="preserve">Billable utilisation</t>
  </si>
  <si>
    <t xml:space="preserve">ASM-013. Low confidence, no published benchmark.</t>
  </si>
  <si>
    <t xml:space="preserve">Billable hours per month</t>
  </si>
  <si>
    <t xml:space="preserve">Weekly billable hours annualised then monthly.</t>
  </si>
  <si>
    <t xml:space="preserve">Revenue per month</t>
  </si>
  <si>
    <t xml:space="preserve">Hours multiplied by the price limit.</t>
  </si>
  <si>
    <t xml:space="preserve">Fixed costs per month</t>
  </si>
  <si>
    <t xml:space="preserve">Same fixed base as core supports.</t>
  </si>
  <si>
    <t xml:space="preserve">NET CASH PER MONTH</t>
  </si>
  <si>
    <t xml:space="preserve">Before tax and before any drawing.</t>
  </si>
  <si>
    <t xml:space="preserve">NET CASH PER YEAR</t>
  </si>
  <si>
    <t xml:space="preserve">This is what the owner earns. Compare it to the core-supports scenarios.</t>
  </si>
  <si>
    <t xml:space="preserve">Break-even billable hours per month</t>
  </si>
  <si>
    <t xml:space="preserve">Very low, because there is no direct labour cost. Utilisation, not volume, is the constraint.</t>
  </si>
  <si>
    <t xml:space="preserve">One-off setup, no registration and no workers</t>
  </si>
  <si>
    <t xml:space="preserve">No audit and no policy manual, because mandatory registration for support coordination is currently PAUSED (SRC-018).</t>
  </si>
  <si>
    <t xml:space="preserve">UTILISATION SENSITIVITY</t>
  </si>
  <si>
    <t xml:space="preserve">Utilisation</t>
  </si>
  <si>
    <t xml:space="preserve">Net cash per year</t>
  </si>
  <si>
    <t xml:space="preserve">THE TRADE. This model earns more, on less capital, with no staff. Against that: the NDIS Review recommended restructuring support coordination into a navigator model, and that design and pilot work runs through 2026-2028 with the funding mechanism intended to change (SRC-049, RSK-003). You would be building on the one service line government has said it intends to redesign.</t>
  </si>
  <si>
    <t xml:space="preserve">What breaks the margin</t>
  </si>
  <si>
    <t xml:space="preserve">Each row changes ONE assumption and leaves everything else alone. Ranked by how much damage it does.</t>
  </si>
  <si>
    <t xml:space="preserve">If this assumption is wrong</t>
  </si>
  <si>
    <t xml:space="preserve">Gross margin per hour</t>
  </si>
  <si>
    <t xml:space="preserve">Change</t>
  </si>
  <si>
    <t xml:space="preserve">Which assumption</t>
  </si>
  <si>
    <t xml:space="preserve">Nothing is wrong — base case as sourced</t>
  </si>
  <si>
    <t xml:space="preserve">Administration is paid and runs at 0.40 hr per billable hour</t>
  </si>
  <si>
    <t xml:space="preserve">ASM-008 — the model's most dangerous assumption. This turns the margin NEGATIVE.</t>
  </si>
  <si>
    <t xml:space="preserve">Administration is paid at the assumed 0.25 hr per billable hour</t>
  </si>
  <si>
    <t xml:space="preserve">Workers sit at SACS Level 3, not Level 2</t>
  </si>
  <si>
    <t xml:space="preserve">ASM-002 — the award schedule could not be read; fairwork.gov.au is robots-blocked.</t>
  </si>
  <si>
    <t xml:space="preserve">The business crosses the Victorian payroll tax threshold</t>
  </si>
  <si>
    <t xml:space="preserve">ASM-003 — the threshold itself could not be confirmed.</t>
  </si>
  <si>
    <t xml:space="preserve">The disability-sector WorkCover rate is 3.0%, not the 1.8% state average</t>
  </si>
  <si>
    <t xml:space="preserve">ASM-004 — the industry rate sits in a Special Gazette that could not be read.</t>
  </si>
  <si>
    <t xml:space="preserve">Read the second row. There is a plausible, unfalsified version of this business in which every hour of core support you sell LOSES money. Nothing in the sourced evidence rules it out, because no source publishes an administration-hours benchmark. Closing ASM-008 with real data from an operating provider is the single highest-value thing you can do before committing capital.</t>
  </si>
  <si>
    <t xml:space="preserve">Aged care inputs — Support at Home</t>
  </si>
  <si>
    <t xml:space="preserve">Blue = sourced hard input. Yellow = assumption to review. Nothing here is a result; every result is a formula somewhere else in this workbook. Change a cell here and the whole aged care model moves.</t>
  </si>
  <si>
    <t xml:space="preserve">Why this value, and what it does</t>
  </si>
  <si>
    <t xml:space="preserve">price personal care</t>
  </si>
  <si>
    <t xml:space="preserve">SRC-060</t>
  </si>
  <si>
    <t xml:space="preserve">IHACPA ADVISORY reference price, not a legal cap. Price caps were legislated for 1 July 2026 and deferred indefinitely on 19 May 2026 with no replacement date. You may charge more or less.</t>
  </si>
  <si>
    <t xml:space="preserve">price domestic assist</t>
  </si>
  <si>
    <t xml:space="preserve">Same IHACPA advice. Not used in the base model; held here so a domestic-assistance line can be priced without re-researching it.</t>
  </si>
  <si>
    <t xml:space="preserve">price nursing</t>
  </si>
  <si>
    <t xml:space="preserve">Same IHACPA advice, registered nurse. Not used in the base model.</t>
  </si>
  <si>
    <t xml:space="preserve">wage homecare l2 casual</t>
  </si>
  <si>
    <t xml:space="preserve">SRC-062</t>
  </si>
  <si>
    <t xml:space="preserve">SCHADS Schedule F Home Care, Level 2 casual, from 1 September 2026. A DIFFERENT schedule from the Social and Community Services stream the NDIS model uses.</t>
  </si>
  <si>
    <t xml:space="preserve">wage homecare l3 casual</t>
  </si>
  <si>
    <t xml:space="preserve">Schedule F Level 3 casual, used for care management and administration time.</t>
  </si>
  <si>
    <t xml:space="preserve">care mgmt share</t>
  </si>
  <si>
    <t xml:space="preserve">SRC-063</t>
  </si>
  <si>
    <t xml:space="preserve">Ten per cent is DEDUCTED from each participant's quarterly budget to fund care management. It is revenue to you and it has no NDIS equivalent — it is the single structural advantage aged care holds.</t>
  </si>
  <si>
    <t xml:space="preserve">budget level 1</t>
  </si>
  <si>
    <t xml:space="preserve">AUD/yr</t>
  </si>
  <si>
    <t xml:space="preserve">SRC-064</t>
  </si>
  <si>
    <t xml:space="preserve">The bottom ongoing classification. At the advisory price this buys about 1.8 service hours a week.</t>
  </si>
  <si>
    <t xml:space="preserve">budget level 8</t>
  </si>
  <si>
    <t xml:space="preserve">The top ongoing classification. Even this buys only about 13 hours a week. THIS is the constraint, not the price.</t>
  </si>
  <si>
    <t xml:space="preserve">DRIVERS — assumptions, not sources</t>
  </si>
  <si>
    <t xml:space="preserve">What breaks if it is wrong</t>
  </si>
  <si>
    <t xml:space="preserve">avg client budget</t>
  </si>
  <si>
    <t xml:space="preserve">ASM-020</t>
  </si>
  <si>
    <t xml:space="preserve">The single largest lever in the whole aged care case. At $20,000 the contribution per client falls about 36 per cent; at $12,000 about 65 per cent. Close it by recording the assessed classification of your first five referrals (ACT-010).</t>
  </si>
  <si>
    <t xml:space="preserve">care mgmt hours per client mo</t>
  </si>
  <si>
    <t xml:space="preserve">ASM-021</t>
  </si>
  <si>
    <t xml:space="preserve">At 3 hours the care-management line roughly breaks even instead of contributing. It does not change the sign of the result.</t>
  </si>
  <si>
    <t xml:space="preserve">admin hours per billable hour</t>
  </si>
  <si>
    <t xml:space="preserve">The same assumption that decides the NDIS business. Shared deliberately: one definition, one place to correct it.</t>
  </si>
  <si>
    <t xml:space="preserve">payment lag days</t>
  </si>
  <si>
    <t xml:space="preserve">ASM-030</t>
  </si>
  <si>
    <t xml:space="preserve">At a thirty-day lag aged care working capital rises from about $4,200 to about $17,900. That is a material addition to the capital requirement.</t>
  </si>
  <si>
    <t xml:space="preserve">participant contribution share</t>
  </si>
  <si>
    <t xml:space="preserve">ASM-022</t>
  </si>
  <si>
    <t xml:space="preserve">Small exposure. The entire bad-debt allowance is $7.50 a client a month.</t>
  </si>
  <si>
    <t xml:space="preserve">contribution bad debt</t>
  </si>
  <si>
    <t xml:space="preserve">ASM-023</t>
  </si>
  <si>
    <t xml:space="preserve">At 10 per cent bad debt the allowance rises to $37.50 a client a month, still immaterial against a $1,002 contribution.</t>
  </si>
  <si>
    <t xml:space="preserve">clients target</t>
  </si>
  <si>
    <t xml:space="preserve">ASM-024</t>
  </si>
  <si>
    <t xml:space="preserve">Sets the working-capital figure and the revenue projection. It is a target, not a forecast, and the plan says so.</t>
  </si>
  <si>
    <t xml:space="preserve">wage coordinator base</t>
  </si>
  <si>
    <t xml:space="preserve">ASM-031</t>
  </si>
  <si>
    <t xml:space="preserve">ASM-031. Care management and administration are costed at the Social and Community Services Level 3 base rate, NOT the Schedule F Home Care rate, deliberately. IHACPA prices care management at $116 to $127 an hour, implying a role well above a home carer. The Schedule F rate would RAISE the contribution by about $43 a client a month, so this is the conservative choice.</t>
  </si>
  <si>
    <t xml:space="preserve">Contribution per client per month — aged care against NDIS</t>
  </si>
  <si>
    <t xml:space="preserve">In the NDIS the price is a hard ceiling and the volume is open. In aged care the price is not capped but the participant's budget is. The two businesses have different binding constraints, so comparing them per HOUR misleads. This sheet compares them per CLIENT PER MONTH, which is the unit both businesses actually acquire.</t>
  </si>
  <si>
    <t xml:space="preserve">Aged care</t>
  </si>
  <si>
    <t xml:space="preserve">NDIS</t>
  </si>
  <si>
    <t xml:space="preserve">What this line is</t>
  </si>
  <si>
    <t xml:space="preserve">Loaded cost of a support worker hour</t>
  </si>
  <si>
    <t xml:space="preserve">Same on-cost stack applied to two different award schedules. Aged care labour costs within seven per cent of NDIS labour.</t>
  </si>
  <si>
    <t xml:space="preserve">Published hourly price</t>
  </si>
  <si>
    <t xml:space="preserve">Aged care advisory, NDIS a hard cap. Aged care pays about forty per cent more for near-identical labour.</t>
  </si>
  <si>
    <t xml:space="preserve">Gross margin an hour</t>
  </si>
  <si>
    <t xml:space="preserve">The headline number, and the misleading one — aged care cannot sell you the hours.</t>
  </si>
  <si>
    <t xml:space="preserve">Revenue a month per client</t>
  </si>
  <si>
    <t xml:space="preserve">Aged care: one twelfth of the assessed budget. NDIS: 15 hours a week at the price limit (ASM-025).</t>
  </si>
  <si>
    <t xml:space="preserve">Care management revenue (the 10% pool)</t>
  </si>
  <si>
    <t xml:space="preserve">Aged care only. The NDIS has no equivalent revenue line.</t>
  </si>
  <si>
    <t xml:space="preserve">Service revenue</t>
  </si>
  <si>
    <t xml:space="preserve">What is left to buy actual service hours with.</t>
  </si>
  <si>
    <t xml:space="preserve">Billable hours a month</t>
  </si>
  <si>
    <t xml:space="preserve">THE CONSTRAINT. In aged care this is an output of the budget; in the NDIS it is an input you choose.</t>
  </si>
  <si>
    <t xml:space="preserve">Billable hours a week</t>
  </si>
  <si>
    <t xml:space="preserve">Aged care buys about a third of the NDIS hours per client.</t>
  </si>
  <si>
    <t xml:space="preserve">Direct labour</t>
  </si>
  <si>
    <t xml:space="preserve">Hours times the loaded wage.</t>
  </si>
  <si>
    <t xml:space="preserve">Care management cost</t>
  </si>
  <si>
    <t xml:space="preserve">Coordinator time against the 10% pool (ASM-021).</t>
  </si>
  <si>
    <t xml:space="preserve">Service administration cost</t>
  </si>
  <si>
    <t xml:space="preserve">Rostering, notes and claiming, PAID rather than absorbed by you (ASM-008).</t>
  </si>
  <si>
    <t xml:space="preserve">Bad debt allowance</t>
  </si>
  <si>
    <t xml:space="preserve">A participant co-contribution that can go unpaid (ASM-022, ASM-023).</t>
  </si>
  <si>
    <t xml:space="preserve">CONTRIBUTION PER CLIENT PER MONTH</t>
  </si>
  <si>
    <t xml:space="preserve">THE COMPARISON THAT DECIDES IT.</t>
  </si>
  <si>
    <t xml:space="preserve">Ratio, aged care to NDIS</t>
  </si>
  <si>
    <t xml:space="preserve">Aged care contributes this many times the NDIS figure, on a third of the service hours, because it pays about forty per cent more an hour for labour of nearly the same cost AND adds a ten per cent care-management revenue line the NDIS does not have.</t>
  </si>
  <si>
    <t xml:space="preserve">WHAT THE FIXED BUDGET BUYS ACROSS THE WHOLE CLASSIFICATION RANGE</t>
  </si>
  <si>
    <t xml:space="preserve">Classification budget a year</t>
  </si>
  <si>
    <t xml:space="preserve">Service hours a week</t>
  </si>
  <si>
    <t xml:space="preserve">Revenue a month</t>
  </si>
  <si>
    <t xml:space="preserve">Contribution a month</t>
  </si>
  <si>
    <t xml:space="preserve">Read the hours column. Even the TOP classification buys about thirteen service hours a week and most buy under five. You cannot sell more hours to a willing client — you can only acquire more clients. That makes this an acquisition business, not a rostering one, and it is the single most important structural difference between the two ventures.</t>
  </si>
  <si>
    <t xml:space="preserve">Two separate companies, or one — what the choice costs</t>
  </si>
  <si>
    <t xml:space="preserve">Zaid chose two separate entities (DEC-006). This sheet prices that choice so the number sits in front of the decision rather than behind it. It is a liability decision, and it is his to make.</t>
  </si>
  <si>
    <t xml:space="preserve">Two entities</t>
  </si>
  <si>
    <t xml:space="preserve">One entity</t>
  </si>
  <si>
    <t xml:space="preserve">Difference</t>
  </si>
  <si>
    <t xml:space="preserve">What is and is not duplicated</t>
  </si>
  <si>
    <t xml:space="preserve">Fixed cost a month</t>
  </si>
  <si>
    <t xml:space="preserve">Accounting and payroll, bookkeeping, general overhead and the ASIC annual review are paid twice. Software licensed per client and insurance priced on turnover are not.</t>
  </si>
  <si>
    <t xml:space="preserve">One-off setup</t>
  </si>
  <si>
    <t xml:space="preserve">One extra company registration and one extra business name.</t>
  </si>
  <si>
    <t xml:space="preserve">Cost of separation, a year</t>
  </si>
  <si>
    <t xml:space="preserve">The monthly difference, annualised.</t>
  </si>
  <si>
    <t xml:space="preserve">COST OF SEPARATION OVER THREE YEARS</t>
  </si>
  <si>
    <t xml:space="preserve">This is the number to hold against the benefit.</t>
  </si>
  <si>
    <t xml:space="preserve">What the separation BUYS: a compliance failure in one sector cannot reach the other's assets, and a suspension by one regulator does not stop all revenue. For two separately regulated care businesses those are real. What it DOES NOT buy: independence from the owner. Both plans depend on the owner doing administration unpaid in year one, so illness stops both revenue lines on the same day. Two entities separate legal liability, not operational dependency (RSK-016). The test at month twelve: if either entity has not reached break-even, the separation is being paid for out of a business that cannot afford it.</t>
  </si>
  <si>
    <t xml:space="preserve">Trade study 3 — which business to start first</t>
  </si>
  <si>
    <t xml:space="preserve">Weights fixed and timestamped BEFORE any option was scored: 02_Work/scratch/T3_trade_study_weights.md (weights timestamped 2026-09-07T06:22:16Z, before any option was scored). The weight column is LIVE — change a weight and every score recomputes, so you can find your own answer rather than take mine.</t>
  </si>
  <si>
    <t xml:space="preserve">Criterion</t>
  </si>
  <si>
    <t xml:space="preserve">Weight</t>
  </si>
  <si>
    <t xml:space="preserve">A</t>
  </si>
  <si>
    <t xml:space="preserve">B</t>
  </si>
  <si>
    <t xml:space="preserve">C</t>
  </si>
  <si>
    <t xml:space="preserve">D</t>
  </si>
  <si>
    <t xml:space="preserve">Why this criterion carries this weight</t>
  </si>
  <si>
    <t xml:space="preserve">Capital at risk before first revenue</t>
  </si>
  <si>
    <t xml:space="preserve">You are the sole capital provider. It is the only criterion where being wrong is unrecoverable.</t>
  </si>
  <si>
    <t xml:space="preserve">Contribution per client per month</t>
  </si>
  <si>
    <t xml:space="preserve">The unit both businesses acquire. Equal to capital, because a business that cannot fund you is not a business however little it cost to start.</t>
  </si>
  <si>
    <t xml:space="preserve">Time to first revenue</t>
  </si>
  <si>
    <t xml:space="preserve">Every month before revenue is a month of fixed cost against a finite runway. It compounds with capital.</t>
  </si>
  <si>
    <t xml:space="preserve">Regulatory stability over three years</t>
  </si>
  <si>
    <t xml:space="preserve">Both sectors are mid-reform. A model whose funding mechanism is being redesigned is a model whose numbers expire.</t>
  </si>
  <si>
    <t xml:space="preserve">Independence from the owner's own hours</t>
  </si>
  <si>
    <t xml:space="preserve">A line that only works while you personally deliver it is a job, not a business, and it stops when you do.</t>
  </si>
  <si>
    <t xml:space="preserve">Weights must total</t>
  </si>
  <si>
    <t xml:space="preserve">If this is not 1.00 the scores below are meaningless.</t>
  </si>
  <si>
    <t xml:space="preserve">WEIGHTED SCORE</t>
  </si>
  <si>
    <t xml:space="preserve">Live. Change a weight above and this moves.</t>
  </si>
  <si>
    <t xml:space="preserve">THE OPTIONS</t>
  </si>
  <si>
    <t xml:space="preserve">Aged care entity first; NDIS entity registers in parallel and takes clients second</t>
  </si>
  <si>
    <t xml:space="preserve">NDIS entity first (core supports); aged care second</t>
  </si>
  <si>
    <t xml:space="preserve">Support coordination only; no support workforce, no aged care</t>
  </si>
  <si>
    <t xml:space="preserve">Do not start; remain employed</t>
  </si>
  <si>
    <t xml:space="preserve">The margin between first and second is 0.15, and four of the five criteria change the winner within a weight movement you could reasonably make. The specific fork: raise capital preservation from 0.25 to 0.31 and support coordination wins instead. If the most you are willing to lose entirely is a small number, option C is the right answer and the recommendation is the wrong one. GOV-B6.4 requires that a result this close is escalated, not taken — recorded as DEC-007, parked with Zaid.</t>
  </si>
  <si>
    <t xml:space="preserve">Both entities together — what must be in the bank before the first client</t>
  </si>
  <si>
    <t xml:space="preserve">Base case, owner drawing nothing for six months. Add a $6,000 a month draw and the runway lines roughly triple.</t>
  </si>
  <si>
    <t xml:space="preserve">NDIS entity</t>
  </si>
  <si>
    <t xml:space="preserve">Aged care entity</t>
  </si>
  <si>
    <t xml:space="preserve">Combined</t>
  </si>
  <si>
    <t xml:space="preserve">One-off setup, base case</t>
  </si>
  <si>
    <t xml:space="preserve">Registration, screening, first aid, policy manuals, brand, and the aged care registration fee band.</t>
  </si>
  <si>
    <t xml:space="preserve">Fixed cost a month, base case</t>
  </si>
  <si>
    <t xml:space="preserve">Software, accounting, bookkeeping, overhead, insurance and company fees, held separately for each entity.</t>
  </si>
  <si>
    <t xml:space="preserve">Six-month runway, no owner draw</t>
  </si>
  <si>
    <t xml:space="preserve">Setup plus six months of fixed cost with no revenue at all.</t>
  </si>
  <si>
    <t xml:space="preserve">Working capital, low case</t>
  </si>
  <si>
    <t xml:space="preserve">Wages fall due before invoices are paid. NDIS at a fourteen-day lag; aged care at seven (ASM-030).</t>
  </si>
  <si>
    <t xml:space="preserve">Working capital, high case</t>
  </si>
  <si>
    <t xml:space="preserve">NDIS at a thirty-day plan-manager lag. This is the figure that was absent from the earlier plan entirely.</t>
  </si>
  <si>
    <t xml:space="preserve">TOTAL CAPITAL BEFORE FIRST REVENUE, low</t>
  </si>
  <si>
    <t xml:space="preserve">Six-month runway plus low-case working capital, both entities.</t>
  </si>
  <si>
    <t xml:space="preserve">TOTAL CAPITAL BEFORE FIRST REVENUE, high</t>
  </si>
  <si>
    <t xml:space="preserve">The same with the thirty-day NDIS payment lag.</t>
  </si>
  <si>
    <t xml:space="preserve">Your earlier files put the whole startup at $15,000 to $30,000 for ONE business and carried no working-capital row at all. The gap between that and this is not a difference of opinion — it is the working capital and the second entity.</t>
  </si>
</sst>
</file>

<file path=xl/styles.xml><?xml version="1.0" encoding="utf-8"?>
<styleSheet xmlns="http://schemas.openxmlformats.org/spreadsheetml/2006/main">
  <numFmts count="7">
    <numFmt numFmtId="164" formatCode="General"/>
    <numFmt numFmtId="165" formatCode="\$#,##0.00;&quot;($&quot;#,##0.00\);\-"/>
    <numFmt numFmtId="166" formatCode="0.0%"/>
    <numFmt numFmtId="167" formatCode="#,##0.0"/>
    <numFmt numFmtId="168" formatCode="\$#,##0;&quot;($&quot;#,##0\);\-"/>
    <numFmt numFmtId="169" formatCode="0.00"/>
    <numFmt numFmtId="170" formatCode="0"/>
  </numFmts>
  <fonts count="11">
    <font>
      <sz val="11"/>
      <color theme="1"/>
      <name val="Calibri"/>
      <family val="2"/>
      <charset val="1"/>
    </font>
    <font>
      <sz val="10"/>
      <name val="Arial"/>
      <family val="0"/>
    </font>
    <font>
      <sz val="10"/>
      <name val="Arial"/>
      <family val="0"/>
    </font>
    <font>
      <sz val="10"/>
      <name val="Arial"/>
      <family val="0"/>
    </font>
    <font>
      <b val="true"/>
      <sz val="14"/>
      <color rgb="FF1B2A38"/>
      <name val="Arial"/>
      <family val="0"/>
      <charset val="1"/>
    </font>
    <font>
      <i val="true"/>
      <sz val="10"/>
      <color rgb="FF55636E"/>
      <name val="Arial"/>
      <family val="0"/>
      <charset val="1"/>
    </font>
    <font>
      <b val="true"/>
      <sz val="11"/>
      <color rgb="FFFFFFFF"/>
      <name val="Arial"/>
      <family val="0"/>
      <charset val="1"/>
    </font>
    <font>
      <b val="true"/>
      <sz val="10"/>
      <name val="Arial"/>
      <family val="0"/>
      <charset val="1"/>
    </font>
    <font>
      <sz val="10"/>
      <name val="Arial"/>
      <family val="0"/>
      <charset val="1"/>
    </font>
    <font>
      <sz val="10"/>
      <color rgb="FF0000FF"/>
      <name val="Arial"/>
      <family val="0"/>
      <charset val="1"/>
    </font>
    <font>
      <b val="true"/>
      <i val="true"/>
      <sz val="10"/>
      <color rgb="FFB03A2E"/>
      <name val="Arial"/>
      <family val="0"/>
      <charset val="1"/>
    </font>
  </fonts>
  <fills count="5">
    <fill>
      <patternFill patternType="none"/>
    </fill>
    <fill>
      <patternFill patternType="gray125"/>
    </fill>
    <fill>
      <patternFill patternType="solid">
        <fgColor rgb="FF1B2A38"/>
        <bgColor rgb="FF003366"/>
      </patternFill>
    </fill>
    <fill>
      <patternFill patternType="solid">
        <fgColor rgb="FFFFFF00"/>
        <bgColor rgb="FFFFFF00"/>
      </patternFill>
    </fill>
    <fill>
      <patternFill patternType="solid">
        <fgColor rgb="FFEDF2F5"/>
        <bgColor rgb="FFFFFFFF"/>
      </patternFill>
    </fill>
  </fills>
  <borders count="2">
    <border diagonalUp="false" diagonalDown="false">
      <left/>
      <right/>
      <top/>
      <bottom/>
      <diagonal/>
    </border>
    <border diagonalUp="false" diagonalDown="false">
      <left style="thin">
        <color rgb="FFD5DEE4"/>
      </left>
      <right style="thin">
        <color rgb="FFD5DEE4"/>
      </right>
      <top style="thin">
        <color rgb="FFD5DEE4"/>
      </top>
      <bottom style="thin">
        <color rgb="FFD5DE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9" fillId="0" borderId="1" xfId="0" applyFont="true" applyBorder="true" applyAlignment="true" applyProtection="false">
      <alignment horizontal="general" vertical="top" textRotation="0" wrapText="false" indent="0" shrinkToFit="false"/>
      <protection locked="true" hidden="false"/>
    </xf>
    <xf numFmtId="167" fontId="9" fillId="3" borderId="1" xfId="0" applyFont="true" applyBorder="true" applyAlignment="true" applyProtection="false">
      <alignment horizontal="general" vertical="top" textRotation="0" wrapText="false" indent="0" shrinkToFit="false"/>
      <protection locked="true" hidden="false"/>
    </xf>
    <xf numFmtId="168" fontId="9" fillId="3" borderId="1" xfId="0" applyFont="true" applyBorder="true" applyAlignment="true" applyProtection="false">
      <alignment horizontal="general" vertical="top" textRotation="0" wrapText="false" indent="0" shrinkToFit="false"/>
      <protection locked="true" hidden="false"/>
    </xf>
    <xf numFmtId="166" fontId="9" fillId="3" borderId="1" xfId="0" applyFont="true" applyBorder="true" applyAlignment="true" applyProtection="false">
      <alignment horizontal="general" vertical="top" textRotation="0" wrapText="false" indent="0" shrinkToFit="false"/>
      <protection locked="true" hidden="false"/>
    </xf>
    <xf numFmtId="164" fontId="7" fillId="4" borderId="1" xfId="0" applyFont="true" applyBorder="true" applyAlignment="true" applyProtection="false">
      <alignment horizontal="general" vertical="top" textRotation="0" wrapText="false" indent="0" shrinkToFit="false"/>
      <protection locked="true" hidden="false"/>
    </xf>
    <xf numFmtId="168" fontId="9" fillId="0" borderId="1" xfId="0" applyFont="true" applyBorder="true" applyAlignment="true" applyProtection="false">
      <alignment horizontal="general" vertical="top" textRotation="0" wrapText="false" indent="0" shrinkToFit="false"/>
      <protection locked="true" hidden="false"/>
    </xf>
    <xf numFmtId="168" fontId="8" fillId="0" borderId="1" xfId="0" applyFont="true" applyBorder="true" applyAlignment="true" applyProtection="false">
      <alignment horizontal="general" vertical="top" textRotation="0" wrapText="false" indent="0" shrinkToFit="false"/>
      <protection locked="true" hidden="false"/>
    </xf>
    <xf numFmtId="168" fontId="7" fillId="4" borderId="1" xfId="0" applyFont="true" applyBorder="true" applyAlignment="true" applyProtection="false">
      <alignment horizontal="general" vertical="top" textRotation="0" wrapText="false" indent="0" shrinkToFit="false"/>
      <protection locked="true" hidden="false"/>
    </xf>
    <xf numFmtId="164" fontId="8" fillId="4" borderId="1" xfId="0" applyFont="true" applyBorder="true" applyAlignment="true" applyProtection="false">
      <alignment horizontal="general" vertical="top" textRotation="0" wrapText="false" indent="0" shrinkToFit="false"/>
      <protection locked="true" hidden="false"/>
    </xf>
    <xf numFmtId="165" fontId="7" fillId="4"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false" indent="0" shrinkToFit="false"/>
      <protection locked="true" hidden="false"/>
    </xf>
    <xf numFmtId="166" fontId="8" fillId="0" borderId="1" xfId="0" applyFont="true" applyBorder="true" applyAlignment="true" applyProtection="false">
      <alignment horizontal="general" vertical="top" textRotation="0" wrapText="false" indent="0" shrinkToFit="false"/>
      <protection locked="true" hidden="false"/>
    </xf>
    <xf numFmtId="166" fontId="7" fillId="4" borderId="1" xfId="0" applyFont="true" applyBorder="true" applyAlignment="true" applyProtection="false">
      <alignment horizontal="general" vertical="top" textRotation="0" wrapText="fals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7" fontId="8" fillId="0" borderId="1" xfId="0" applyFont="tru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general" vertical="top" textRotation="0" wrapText="false" indent="0" shrinkToFit="false"/>
      <protection locked="true" hidden="false"/>
    </xf>
    <xf numFmtId="168" fontId="7" fillId="0" borderId="1" xfId="0" applyFont="true" applyBorder="true" applyAlignment="true" applyProtection="false">
      <alignment horizontal="general" vertical="top" textRotation="0" wrapText="fals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xf numFmtId="168" fontId="8" fillId="3" borderId="1" xfId="0" applyFont="true" applyBorder="true" applyAlignment="true" applyProtection="false">
      <alignment horizontal="general" vertical="top" textRotation="0" wrapText="false" indent="0" shrinkToFit="false"/>
      <protection locked="true" hidden="false"/>
    </xf>
    <xf numFmtId="167" fontId="8" fillId="3" borderId="1" xfId="0" applyFont="true" applyBorder="true" applyAlignment="true" applyProtection="false">
      <alignment horizontal="general" vertical="top" textRotation="0" wrapText="false" indent="0" shrinkToFit="false"/>
      <protection locked="true" hidden="false"/>
    </xf>
    <xf numFmtId="166" fontId="8" fillId="3" borderId="1" xfId="0" applyFont="true" applyBorder="true" applyAlignment="true" applyProtection="false">
      <alignment horizontal="general" vertical="top" textRotation="0" wrapText="false" indent="0" shrinkToFit="false"/>
      <protection locked="true" hidden="false"/>
    </xf>
    <xf numFmtId="169" fontId="8" fillId="3" borderId="1" xfId="0" applyFont="true" applyBorder="true" applyAlignment="true" applyProtection="false">
      <alignment horizontal="general" vertical="top" textRotation="0" wrapText="false" indent="0" shrinkToFit="false"/>
      <protection locked="true" hidden="false"/>
    </xf>
    <xf numFmtId="170" fontId="8" fillId="0" borderId="1" xfId="0" applyFont="true" applyBorder="true" applyAlignment="true" applyProtection="false">
      <alignment horizontal="general" vertical="top" textRotation="0" wrapText="false" indent="0" shrinkToFit="false"/>
      <protection locked="true" hidden="false"/>
    </xf>
    <xf numFmtId="169" fontId="7"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F2F5"/>
      <rgbColor rgb="FFCCFFFF"/>
      <rgbColor rgb="FF660066"/>
      <rgbColor rgb="FFFF8080"/>
      <rgbColor rgb="FF0066CC"/>
      <rgbColor rgb="FFD5DE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636E"/>
      <rgbColor rgb="FF969696"/>
      <rgbColor rgb="FF003366"/>
      <rgbColor rgb="FF339966"/>
      <rgbColor rgb="FF003300"/>
      <rgbColor rgb="FF333300"/>
      <rgbColor rgb="FFB03A2E"/>
      <rgbColor rgb="FF993366"/>
      <rgbColor rgb="FF333399"/>
      <rgbColor rgb="FF1B2A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8"/>
  </cols>
  <sheetData>
    <row r="1" customFormat="false" ht="17.35" hidden="false" customHeight="false" outlineLevel="0" collapsed="false">
      <c r="A1" s="1" t="s">
        <v>0</v>
      </c>
      <c r="B1" s="1"/>
    </row>
    <row r="2" customFormat="false" ht="15" hidden="false" customHeight="false" outlineLevel="0" collapsed="false">
      <c r="A2" s="2" t="s">
        <v>1</v>
      </c>
      <c r="B2" s="2"/>
    </row>
    <row r="4" customFormat="false" ht="27.75" hidden="false" customHeight="true" outlineLevel="0" collapsed="false">
      <c r="A4" s="3"/>
      <c r="B4" s="3" t="s">
        <v>2</v>
      </c>
    </row>
    <row r="5" customFormat="false" ht="27.75" hidden="false" customHeight="true" outlineLevel="0" collapsed="false">
      <c r="A5" s="4" t="s">
        <v>3</v>
      </c>
      <c r="B5" s="5" t="s">
        <v>4</v>
      </c>
    </row>
    <row r="6" customFormat="false" ht="27.75" hidden="false" customHeight="true" outlineLevel="0" collapsed="false">
      <c r="A6" s="4" t="s">
        <v>5</v>
      </c>
      <c r="B6" s="5" t="s">
        <v>6</v>
      </c>
    </row>
    <row r="7" customFormat="false" ht="66.75" hidden="false" customHeight="true" outlineLevel="0" collapsed="false">
      <c r="A7" s="4" t="s">
        <v>7</v>
      </c>
      <c r="B7" s="5" t="s">
        <v>8</v>
      </c>
    </row>
    <row r="8" customFormat="false" ht="66.75" hidden="false" customHeight="true" outlineLevel="0" collapsed="false">
      <c r="A8" s="4" t="s">
        <v>9</v>
      </c>
      <c r="B8" s="5" t="s">
        <v>10</v>
      </c>
    </row>
    <row r="9" customFormat="false" ht="27.75" hidden="false" customHeight="true" outlineLevel="0" collapsed="false">
      <c r="A9" s="4" t="s">
        <v>11</v>
      </c>
      <c r="B9" s="5" t="s">
        <v>12</v>
      </c>
    </row>
    <row r="10" customFormat="false" ht="54" hidden="false" customHeight="true" outlineLevel="0" collapsed="false">
      <c r="A10" s="4" t="s">
        <v>13</v>
      </c>
      <c r="B10" s="5" t="s">
        <v>14</v>
      </c>
    </row>
    <row r="11" customFormat="false" ht="54" hidden="false" customHeight="true" outlineLevel="0" collapsed="false">
      <c r="A11" s="4" t="s">
        <v>15</v>
      </c>
      <c r="B11" s="5" t="s">
        <v>16</v>
      </c>
    </row>
    <row r="12" customFormat="false" ht="15" hidden="false" customHeight="true" outlineLevel="0" collapsed="false">
      <c r="A12" s="4" t="s">
        <v>17</v>
      </c>
      <c r="B12" s="5" t="s">
        <v>18</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2"/>
    <col collapsed="false" customWidth="true" hidden="false" outlineLevel="0" max="5" min="4" style="0" width="14"/>
    <col collapsed="false" customWidth="true" hidden="false" outlineLevel="0" max="6" min="6" style="0" width="62"/>
  </cols>
  <sheetData>
    <row r="1" customFormat="false" ht="17.35" hidden="false" customHeight="false" outlineLevel="0" collapsed="false">
      <c r="A1" s="1" t="s">
        <v>19</v>
      </c>
      <c r="B1" s="1"/>
      <c r="C1" s="1"/>
      <c r="D1" s="1"/>
      <c r="E1" s="1"/>
      <c r="F1" s="1"/>
    </row>
    <row r="2" customFormat="false" ht="15" hidden="false" customHeight="false" outlineLevel="0" collapsed="false">
      <c r="A2" s="2" t="s">
        <v>20</v>
      </c>
      <c r="B2" s="2"/>
      <c r="C2" s="2"/>
      <c r="D2" s="2"/>
      <c r="E2" s="2"/>
      <c r="F2" s="2"/>
    </row>
    <row r="4" customFormat="false" ht="27.75" hidden="false" customHeight="true" outlineLevel="0" collapsed="false">
      <c r="A4" s="3" t="s">
        <v>21</v>
      </c>
      <c r="B4" s="3" t="s">
        <v>22</v>
      </c>
      <c r="C4" s="3" t="s">
        <v>23</v>
      </c>
      <c r="D4" s="3" t="s">
        <v>24</v>
      </c>
      <c r="E4" s="3" t="s">
        <v>25</v>
      </c>
      <c r="F4" s="3" t="s">
        <v>26</v>
      </c>
    </row>
    <row r="5" customFormat="false" ht="30" hidden="false" customHeight="true" outlineLevel="0" collapsed="false">
      <c r="A5" s="5" t="s">
        <v>27</v>
      </c>
      <c r="B5" s="6" t="n">
        <v>73.58</v>
      </c>
      <c r="C5" s="7" t="s">
        <v>28</v>
      </c>
      <c r="D5" s="8" t="s">
        <v>29</v>
      </c>
      <c r="E5" s="8" t="s">
        <v>30</v>
      </c>
      <c r="F5" s="9" t="s">
        <v>31</v>
      </c>
    </row>
    <row r="6" customFormat="false" ht="30" hidden="false" customHeight="true" outlineLevel="0" collapsed="false">
      <c r="A6" s="5" t="s">
        <v>32</v>
      </c>
      <c r="B6" s="6" t="n">
        <v>73.58</v>
      </c>
      <c r="C6" s="7" t="s">
        <v>28</v>
      </c>
      <c r="D6" s="8" t="s">
        <v>33</v>
      </c>
      <c r="E6" s="8" t="s">
        <v>30</v>
      </c>
      <c r="F6" s="9" t="s">
        <v>34</v>
      </c>
    </row>
    <row r="7" customFormat="false" ht="30" hidden="false" customHeight="true" outlineLevel="0" collapsed="false">
      <c r="A7" s="5" t="s">
        <v>35</v>
      </c>
      <c r="B7" s="6" t="n">
        <v>100.14</v>
      </c>
      <c r="C7" s="7" t="s">
        <v>28</v>
      </c>
      <c r="D7" s="8" t="s">
        <v>36</v>
      </c>
      <c r="E7" s="8" t="s">
        <v>30</v>
      </c>
      <c r="F7" s="9" t="s">
        <v>34</v>
      </c>
    </row>
    <row r="8" customFormat="false" ht="30" hidden="false" customHeight="true" outlineLevel="0" collapsed="false">
      <c r="A8" s="5" t="s">
        <v>37</v>
      </c>
      <c r="B8" s="6" t="n">
        <v>45.28</v>
      </c>
      <c r="C8" s="7" t="s">
        <v>28</v>
      </c>
      <c r="D8" s="8" t="s">
        <v>38</v>
      </c>
      <c r="E8" s="8" t="s">
        <v>30</v>
      </c>
      <c r="F8" s="9" t="s">
        <v>39</v>
      </c>
    </row>
    <row r="9" customFormat="false" ht="30" hidden="false" customHeight="true" outlineLevel="0" collapsed="false">
      <c r="A9" s="5" t="s">
        <v>40</v>
      </c>
      <c r="B9" s="6" t="n">
        <v>50.61</v>
      </c>
      <c r="C9" s="7" t="s">
        <v>28</v>
      </c>
      <c r="D9" s="8" t="s">
        <v>38</v>
      </c>
      <c r="E9" s="8" t="s">
        <v>30</v>
      </c>
      <c r="F9" s="9" t="s">
        <v>41</v>
      </c>
    </row>
    <row r="10" customFormat="false" ht="30" hidden="false" customHeight="true" outlineLevel="0" collapsed="false">
      <c r="A10" s="5" t="s">
        <v>42</v>
      </c>
      <c r="B10" s="10" t="n">
        <v>0.12</v>
      </c>
      <c r="C10" s="7" t="s">
        <v>43</v>
      </c>
      <c r="D10" s="8" t="s">
        <v>44</v>
      </c>
      <c r="E10" s="8" t="s">
        <v>45</v>
      </c>
      <c r="F10" s="9" t="s">
        <v>46</v>
      </c>
    </row>
    <row r="11" customFormat="false" ht="30" hidden="false" customHeight="true" outlineLevel="0" collapsed="false">
      <c r="A11" s="5" t="s">
        <v>47</v>
      </c>
      <c r="B11" s="10" t="n">
        <v>0.018</v>
      </c>
      <c r="C11" s="7" t="s">
        <v>43</v>
      </c>
      <c r="D11" s="8" t="s">
        <v>48</v>
      </c>
      <c r="E11" s="8" t="s">
        <v>30</v>
      </c>
      <c r="F11" s="9" t="s">
        <v>49</v>
      </c>
    </row>
    <row r="12" customFormat="false" ht="30" hidden="false" customHeight="true" outlineLevel="0" collapsed="false">
      <c r="A12" s="5" t="s">
        <v>50</v>
      </c>
      <c r="B12" s="10" t="n">
        <v>0.0165</v>
      </c>
      <c r="C12" s="7" t="s">
        <v>43</v>
      </c>
      <c r="D12" s="8" t="s">
        <v>51</v>
      </c>
      <c r="E12" s="8" t="s">
        <v>45</v>
      </c>
      <c r="F12" s="9" t="s">
        <v>46</v>
      </c>
    </row>
    <row r="13" customFormat="false" ht="30" hidden="false" customHeight="true" outlineLevel="0" collapsed="false">
      <c r="A13" s="5" t="s">
        <v>52</v>
      </c>
      <c r="B13" s="10" t="n">
        <v>0</v>
      </c>
      <c r="C13" s="7" t="s">
        <v>43</v>
      </c>
      <c r="D13" s="8" t="s">
        <v>53</v>
      </c>
      <c r="E13" s="8" t="s">
        <v>30</v>
      </c>
      <c r="F13" s="9" t="s">
        <v>54</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5" min="3" style="0" width="12"/>
    <col collapsed="false" customWidth="true" hidden="false" outlineLevel="0" max="6" min="6" style="0" width="66"/>
  </cols>
  <sheetData>
    <row r="1" customFormat="false" ht="17.35" hidden="false" customHeight="false" outlineLevel="0" collapsed="false">
      <c r="A1" s="1" t="s">
        <v>55</v>
      </c>
      <c r="B1" s="1"/>
      <c r="C1" s="1"/>
      <c r="D1" s="1"/>
      <c r="E1" s="1"/>
      <c r="F1" s="1"/>
    </row>
    <row r="2" customFormat="false" ht="15" hidden="false" customHeight="false" outlineLevel="0" collapsed="false">
      <c r="A2" s="2" t="s">
        <v>56</v>
      </c>
      <c r="B2" s="2"/>
      <c r="C2" s="2"/>
      <c r="D2" s="2"/>
      <c r="E2" s="2"/>
      <c r="F2" s="2"/>
    </row>
    <row r="4" customFormat="false" ht="27.75" hidden="false" customHeight="true" outlineLevel="0" collapsed="false">
      <c r="A4" s="3" t="s">
        <v>57</v>
      </c>
      <c r="B4" s="3" t="s">
        <v>22</v>
      </c>
      <c r="C4" s="3" t="s">
        <v>23</v>
      </c>
      <c r="D4" s="3" t="s">
        <v>58</v>
      </c>
      <c r="E4" s="3" t="s">
        <v>25</v>
      </c>
      <c r="F4" s="3" t="s">
        <v>59</v>
      </c>
    </row>
    <row r="5" customFormat="false" ht="30" hidden="false" customHeight="true" outlineLevel="0" collapsed="false">
      <c r="A5" s="5" t="s">
        <v>60</v>
      </c>
      <c r="B5" s="11" t="n">
        <v>0.25</v>
      </c>
      <c r="C5" s="7" t="s">
        <v>61</v>
      </c>
      <c r="D5" s="8" t="s">
        <v>62</v>
      </c>
      <c r="E5" s="8" t="s">
        <v>63</v>
      </c>
      <c r="F5" s="9" t="s">
        <v>64</v>
      </c>
    </row>
    <row r="6" customFormat="false" ht="30" hidden="false" customHeight="true" outlineLevel="0" collapsed="false">
      <c r="A6" s="5" t="s">
        <v>65</v>
      </c>
      <c r="B6" s="11" t="n">
        <v>14</v>
      </c>
      <c r="C6" s="7" t="s">
        <v>66</v>
      </c>
      <c r="D6" s="8" t="s">
        <v>67</v>
      </c>
      <c r="E6" s="8" t="s">
        <v>63</v>
      </c>
      <c r="F6" s="9" t="s">
        <v>68</v>
      </c>
    </row>
    <row r="7" customFormat="false" ht="30" hidden="false" customHeight="true" outlineLevel="0" collapsed="false">
      <c r="A7" s="5" t="s">
        <v>69</v>
      </c>
      <c r="B7" s="12" t="n">
        <v>300</v>
      </c>
      <c r="C7" s="7" t="s">
        <v>70</v>
      </c>
      <c r="D7" s="8" t="s">
        <v>71</v>
      </c>
      <c r="E7" s="8" t="s">
        <v>63</v>
      </c>
      <c r="F7" s="9" t="s">
        <v>72</v>
      </c>
    </row>
    <row r="8" customFormat="false" ht="30" hidden="false" customHeight="true" outlineLevel="0" collapsed="false">
      <c r="A8" s="5" t="s">
        <v>73</v>
      </c>
      <c r="B8" s="12" t="n">
        <v>200</v>
      </c>
      <c r="C8" s="7" t="s">
        <v>70</v>
      </c>
      <c r="D8" s="8" t="s">
        <v>74</v>
      </c>
      <c r="E8" s="8" t="s">
        <v>63</v>
      </c>
      <c r="F8" s="9" t="s">
        <v>75</v>
      </c>
    </row>
    <row r="9" customFormat="false" ht="30" hidden="false" customHeight="true" outlineLevel="0" collapsed="false">
      <c r="A9" s="5" t="s">
        <v>76</v>
      </c>
      <c r="B9" s="12" t="n">
        <v>2500</v>
      </c>
      <c r="C9" s="7" t="s">
        <v>77</v>
      </c>
      <c r="D9" s="8" t="s">
        <v>78</v>
      </c>
      <c r="E9" s="8" t="s">
        <v>63</v>
      </c>
      <c r="F9" s="9" t="s">
        <v>79</v>
      </c>
    </row>
    <row r="10" customFormat="false" ht="30" hidden="false" customHeight="true" outlineLevel="0" collapsed="false">
      <c r="A10" s="5" t="s">
        <v>80</v>
      </c>
      <c r="B10" s="13" t="n">
        <v>0.55</v>
      </c>
      <c r="C10" s="7" t="s">
        <v>43</v>
      </c>
      <c r="D10" s="8" t="s">
        <v>81</v>
      </c>
      <c r="E10" s="8" t="s">
        <v>63</v>
      </c>
      <c r="F10" s="9" t="s">
        <v>82</v>
      </c>
    </row>
    <row r="11" customFormat="false" ht="30" hidden="false" customHeight="true" outlineLevel="0" collapsed="false">
      <c r="A11" s="5" t="s">
        <v>83</v>
      </c>
      <c r="B11" s="11" t="n">
        <v>38</v>
      </c>
      <c r="C11" s="7" t="s">
        <v>61</v>
      </c>
      <c r="D11" s="8" t="s">
        <v>84</v>
      </c>
      <c r="E11" s="8" t="s">
        <v>63</v>
      </c>
      <c r="F11" s="9" t="s">
        <v>85</v>
      </c>
    </row>
    <row r="12" customFormat="false" ht="30" hidden="false" customHeight="true" outlineLevel="0" collapsed="false">
      <c r="A12" s="5" t="s">
        <v>86</v>
      </c>
      <c r="B12" s="11" t="n">
        <v>3</v>
      </c>
      <c r="C12" s="7" t="s">
        <v>87</v>
      </c>
      <c r="D12" s="8" t="s">
        <v>46</v>
      </c>
      <c r="E12" s="8" t="s">
        <v>63</v>
      </c>
      <c r="F12" s="9" t="s">
        <v>88</v>
      </c>
    </row>
    <row r="13" customFormat="false" ht="30" hidden="false" customHeight="true" outlineLevel="0" collapsed="false">
      <c r="A13" s="5" t="s">
        <v>89</v>
      </c>
      <c r="B13" s="12" t="n">
        <v>0</v>
      </c>
      <c r="C13" s="7" t="s">
        <v>70</v>
      </c>
      <c r="D13" s="8" t="s">
        <v>90</v>
      </c>
      <c r="E13" s="8" t="s">
        <v>63</v>
      </c>
      <c r="F13" s="9" t="s">
        <v>91</v>
      </c>
    </row>
    <row r="14" customFormat="false" ht="30" hidden="false" customHeight="true" outlineLevel="0" collapsed="false">
      <c r="A14" s="5" t="s">
        <v>92</v>
      </c>
      <c r="B14" s="11" t="n">
        <v>300</v>
      </c>
      <c r="C14" s="7" t="s">
        <v>61</v>
      </c>
      <c r="D14" s="8" t="s">
        <v>46</v>
      </c>
      <c r="E14" s="8" t="s">
        <v>63</v>
      </c>
      <c r="F14" s="9" t="s">
        <v>93</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6" min="5" style="0" width="12"/>
    <col collapsed="false" customWidth="true" hidden="false" outlineLevel="0" max="7" min="7" style="0" width="50"/>
  </cols>
  <sheetData>
    <row r="1" customFormat="false" ht="17.35" hidden="false" customHeight="false" outlineLevel="0" collapsed="false">
      <c r="A1" s="1" t="s">
        <v>94</v>
      </c>
      <c r="B1" s="1"/>
      <c r="C1" s="1"/>
      <c r="D1" s="1"/>
      <c r="E1" s="1"/>
      <c r="F1" s="1"/>
      <c r="G1" s="1"/>
    </row>
    <row r="2" customFormat="false" ht="15" hidden="false" customHeight="false" outlineLevel="0" collapsed="false">
      <c r="A2" s="2" t="s">
        <v>95</v>
      </c>
      <c r="B2" s="2"/>
      <c r="C2" s="2"/>
      <c r="D2" s="2"/>
      <c r="E2" s="2"/>
      <c r="F2" s="2"/>
      <c r="G2" s="2"/>
    </row>
    <row r="4" customFormat="false" ht="27.75" hidden="false" customHeight="true" outlineLevel="0" collapsed="false">
      <c r="A4" s="3" t="s">
        <v>96</v>
      </c>
      <c r="B4" s="3" t="s">
        <v>63</v>
      </c>
      <c r="C4" s="3" t="s">
        <v>97</v>
      </c>
      <c r="D4" s="3" t="s">
        <v>45</v>
      </c>
      <c r="E4" s="3" t="s">
        <v>24</v>
      </c>
      <c r="F4" s="3" t="s">
        <v>25</v>
      </c>
      <c r="G4" s="3" t="s">
        <v>98</v>
      </c>
    </row>
    <row r="5" customFormat="false" ht="15" hidden="false" customHeight="false" outlineLevel="0" collapsed="false">
      <c r="A5" s="14" t="s">
        <v>99</v>
      </c>
    </row>
    <row r="6" customFormat="false" ht="25.5" hidden="false" customHeight="true" outlineLevel="0" collapsed="false">
      <c r="A6" s="5" t="s">
        <v>100</v>
      </c>
      <c r="B6" s="15" t="n">
        <v>636</v>
      </c>
      <c r="C6" s="15" t="n">
        <v>636</v>
      </c>
      <c r="D6" s="15" t="n">
        <v>636</v>
      </c>
      <c r="E6" s="8" t="s">
        <v>101</v>
      </c>
      <c r="F6" s="8" t="s">
        <v>30</v>
      </c>
      <c r="G6" s="9" t="s">
        <v>102</v>
      </c>
    </row>
    <row r="7" customFormat="false" ht="25.5" hidden="false" customHeight="true" outlineLevel="0" collapsed="false">
      <c r="A7" s="5" t="s">
        <v>103</v>
      </c>
      <c r="B7" s="15" t="n">
        <v>108</v>
      </c>
      <c r="C7" s="15" t="n">
        <v>108</v>
      </c>
      <c r="D7" s="15" t="n">
        <v>108</v>
      </c>
      <c r="E7" s="8" t="s">
        <v>104</v>
      </c>
      <c r="F7" s="8" t="s">
        <v>30</v>
      </c>
      <c r="G7" s="9" t="s">
        <v>105</v>
      </c>
    </row>
    <row r="8" customFormat="false" ht="25.5" hidden="false" customHeight="true" outlineLevel="0" collapsed="false">
      <c r="A8" s="5" t="s">
        <v>106</v>
      </c>
      <c r="B8" s="15" t="n">
        <v>0</v>
      </c>
      <c r="C8" s="15" t="n">
        <v>0</v>
      </c>
      <c r="D8" s="15" t="n">
        <v>0</v>
      </c>
      <c r="E8" s="8" t="s">
        <v>107</v>
      </c>
      <c r="F8" s="8" t="s">
        <v>45</v>
      </c>
      <c r="G8" s="9" t="s">
        <v>108</v>
      </c>
    </row>
    <row r="9" customFormat="false" ht="25.5" hidden="false" customHeight="true" outlineLevel="0" collapsed="false">
      <c r="A9" s="5" t="s">
        <v>109</v>
      </c>
      <c r="B9" s="15" t="n">
        <v>0</v>
      </c>
      <c r="C9" s="15" t="n">
        <v>0</v>
      </c>
      <c r="D9" s="15" t="n">
        <v>0</v>
      </c>
      <c r="E9" s="8" t="s">
        <v>110</v>
      </c>
      <c r="F9" s="8" t="s">
        <v>45</v>
      </c>
      <c r="G9" s="9" t="s">
        <v>111</v>
      </c>
    </row>
    <row r="10" customFormat="false" ht="25.5" hidden="false" customHeight="true" outlineLevel="0" collapsed="false">
      <c r="A10" s="5" t="s">
        <v>112</v>
      </c>
      <c r="B10" s="15" t="n">
        <v>649</v>
      </c>
      <c r="C10" s="15" t="n">
        <v>1080</v>
      </c>
      <c r="D10" s="15" t="n">
        <v>1825</v>
      </c>
      <c r="E10" s="8" t="s">
        <v>113</v>
      </c>
      <c r="F10" s="8" t="s">
        <v>45</v>
      </c>
      <c r="G10" s="9" t="s">
        <v>114</v>
      </c>
    </row>
    <row r="11" customFormat="false" ht="25.5" hidden="false" customHeight="true" outlineLevel="0" collapsed="false">
      <c r="A11" s="5" t="s">
        <v>115</v>
      </c>
      <c r="B11" s="15" t="n">
        <v>3500</v>
      </c>
      <c r="C11" s="15" t="n">
        <v>4750</v>
      </c>
      <c r="D11" s="15" t="n">
        <v>6000</v>
      </c>
      <c r="E11" s="8" t="s">
        <v>116</v>
      </c>
      <c r="F11" s="8" t="s">
        <v>30</v>
      </c>
      <c r="G11" s="9" t="s">
        <v>117</v>
      </c>
    </row>
    <row r="12" customFormat="false" ht="23.85" hidden="false" customHeight="false" outlineLevel="0" collapsed="false">
      <c r="A12" s="7" t="s">
        <v>118</v>
      </c>
      <c r="B12" s="16" t="n">
        <f aca="false">Drivers!$B$9</f>
        <v>2500</v>
      </c>
      <c r="C12" s="16" t="n">
        <f aca="false">Drivers!$B$9</f>
        <v>2500</v>
      </c>
      <c r="D12" s="16" t="n">
        <f aca="false">Drivers!$B$9</f>
        <v>2500</v>
      </c>
      <c r="E12" s="8" t="s">
        <v>78</v>
      </c>
      <c r="F12" s="8" t="s">
        <v>63</v>
      </c>
      <c r="G12" s="9" t="s">
        <v>119</v>
      </c>
    </row>
    <row r="13" customFormat="false" ht="23.85" hidden="false" customHeight="false" outlineLevel="0" collapsed="false">
      <c r="A13" s="5" t="s">
        <v>120</v>
      </c>
      <c r="B13" s="16" t="n">
        <f aca="false">(139.2+290)*(Drivers!$B$12+1)</f>
        <v>1716.8</v>
      </c>
      <c r="C13" s="16" t="n">
        <f aca="false">(139.2+290)*(Drivers!$B$12+1)</f>
        <v>1716.8</v>
      </c>
      <c r="D13" s="16" t="n">
        <f aca="false">(139.2+290)*(Drivers!$B$12+1)</f>
        <v>1716.8</v>
      </c>
      <c r="E13" s="8" t="s">
        <v>121</v>
      </c>
      <c r="F13" s="8" t="s">
        <v>45</v>
      </c>
      <c r="G13" s="9" t="s">
        <v>122</v>
      </c>
    </row>
    <row r="14" customFormat="false" ht="15" hidden="false" customHeight="false" outlineLevel="0" collapsed="false">
      <c r="A14" s="14" t="s">
        <v>123</v>
      </c>
      <c r="B14" s="17" t="n">
        <f aca="false">SUM(B6:B13)</f>
        <v>9109.8</v>
      </c>
      <c r="C14" s="17" t="n">
        <f aca="false">SUM(C6:C13)</f>
        <v>10790.8</v>
      </c>
      <c r="D14" s="17" t="n">
        <f aca="false">SUM(D6:D13)</f>
        <v>12785.8</v>
      </c>
      <c r="E14" s="18"/>
      <c r="F14" s="18"/>
      <c r="G14" s="18"/>
    </row>
    <row r="16" customFormat="false" ht="15" hidden="false" customHeight="false" outlineLevel="0" collapsed="false">
      <c r="A16" s="14" t="s">
        <v>124</v>
      </c>
    </row>
    <row r="17" customFormat="false" ht="15" hidden="false" customHeight="false" outlineLevel="0" collapsed="false">
      <c r="A17" s="5" t="s">
        <v>125</v>
      </c>
      <c r="B17" s="15" t="n">
        <v>45</v>
      </c>
      <c r="C17" s="15" t="n">
        <v>45</v>
      </c>
      <c r="D17" s="15" t="n">
        <v>125</v>
      </c>
      <c r="E17" s="8" t="s">
        <v>126</v>
      </c>
      <c r="F17" s="8" t="s">
        <v>45</v>
      </c>
      <c r="G17" s="9" t="s">
        <v>127</v>
      </c>
    </row>
    <row r="18" customFormat="false" ht="15" hidden="false" customHeight="false" outlineLevel="0" collapsed="false">
      <c r="A18" s="5" t="s">
        <v>128</v>
      </c>
      <c r="B18" s="15" t="n">
        <v>78</v>
      </c>
      <c r="C18" s="15" t="n">
        <v>78</v>
      </c>
      <c r="D18" s="15" t="n">
        <v>143</v>
      </c>
      <c r="E18" s="8" t="s">
        <v>129</v>
      </c>
      <c r="F18" s="8" t="s">
        <v>45</v>
      </c>
      <c r="G18" s="9" t="s">
        <v>127</v>
      </c>
    </row>
    <row r="19" customFormat="false" ht="25.5" hidden="false" customHeight="true" outlineLevel="0" collapsed="false">
      <c r="A19" s="5" t="s">
        <v>130</v>
      </c>
      <c r="B19" s="15" t="n">
        <v>200</v>
      </c>
      <c r="C19" s="16" t="n">
        <f aca="false">Drivers!$B$7</f>
        <v>300</v>
      </c>
      <c r="D19" s="15" t="n">
        <v>500</v>
      </c>
      <c r="E19" s="8" t="s">
        <v>71</v>
      </c>
      <c r="F19" s="8" t="s">
        <v>63</v>
      </c>
      <c r="G19" s="9" t="s">
        <v>131</v>
      </c>
    </row>
    <row r="20" customFormat="false" ht="25.5" hidden="false" customHeight="true" outlineLevel="0" collapsed="false">
      <c r="A20" s="5" t="s">
        <v>132</v>
      </c>
      <c r="B20" s="15" t="n">
        <v>150</v>
      </c>
      <c r="C20" s="16" t="n">
        <f aca="false">Drivers!$B$8</f>
        <v>200</v>
      </c>
      <c r="D20" s="15" t="n">
        <v>350</v>
      </c>
      <c r="E20" s="8" t="s">
        <v>74</v>
      </c>
      <c r="F20" s="8" t="s">
        <v>63</v>
      </c>
      <c r="G20" s="9" t="s">
        <v>133</v>
      </c>
    </row>
    <row r="21" customFormat="false" ht="15" hidden="false" customHeight="false" outlineLevel="0" collapsed="false">
      <c r="A21" s="14" t="s">
        <v>134</v>
      </c>
      <c r="B21" s="17" t="n">
        <f aca="false">SUM(B17:B20)</f>
        <v>473</v>
      </c>
      <c r="C21" s="17" t="n">
        <f aca="false">SUM(C17:C20)</f>
        <v>623</v>
      </c>
      <c r="D21" s="17" t="n">
        <f aca="false">SUM(D17:D20)</f>
        <v>1118</v>
      </c>
      <c r="E21" s="18"/>
      <c r="F21" s="18"/>
      <c r="G21" s="18"/>
    </row>
    <row r="23" customFormat="false" ht="15" hidden="false" customHeight="false" outlineLevel="0" collapsed="false">
      <c r="A23" s="14" t="s">
        <v>135</v>
      </c>
    </row>
    <row r="24" customFormat="false" ht="25.5" hidden="false" customHeight="true" outlineLevel="0" collapsed="false">
      <c r="A24" s="5" t="s">
        <v>136</v>
      </c>
      <c r="B24" s="15" t="n">
        <v>342</v>
      </c>
      <c r="C24" s="15" t="n">
        <v>342</v>
      </c>
      <c r="D24" s="15" t="n">
        <v>342</v>
      </c>
      <c r="E24" s="8" t="s">
        <v>137</v>
      </c>
      <c r="F24" s="8" t="s">
        <v>30</v>
      </c>
      <c r="G24" s="9" t="s">
        <v>102</v>
      </c>
    </row>
    <row r="25" customFormat="false" ht="25.5" hidden="false" customHeight="true" outlineLevel="0" collapsed="false">
      <c r="A25" s="5" t="s">
        <v>138</v>
      </c>
      <c r="B25" s="15" t="n">
        <v>1200</v>
      </c>
      <c r="C25" s="15" t="n">
        <v>2350</v>
      </c>
      <c r="D25" s="15" t="n">
        <v>3500</v>
      </c>
      <c r="E25" s="8" t="s">
        <v>139</v>
      </c>
      <c r="F25" s="8" t="s">
        <v>63</v>
      </c>
      <c r="G25" s="9" t="s">
        <v>140</v>
      </c>
    </row>
    <row r="26" customFormat="false" ht="15" hidden="false" customHeight="false" outlineLevel="0" collapsed="false">
      <c r="A26" s="14" t="s">
        <v>141</v>
      </c>
      <c r="B26" s="17" t="n">
        <f aca="false">SUM(B24:B25)</f>
        <v>1542</v>
      </c>
      <c r="C26" s="17" t="n">
        <f aca="false">SUM(C24:C25)</f>
        <v>2692</v>
      </c>
      <c r="D26" s="17" t="n">
        <f aca="false">SUM(D24:D25)</f>
        <v>3842</v>
      </c>
      <c r="E26" s="18"/>
      <c r="F26" s="18"/>
      <c r="G26" s="18"/>
    </row>
    <row r="28" customFormat="false" ht="15" hidden="false" customHeight="false" outlineLevel="0" collapsed="false">
      <c r="A28" s="14" t="s">
        <v>142</v>
      </c>
      <c r="B28" s="19" t="n">
        <f aca="false">B21+B26/12</f>
        <v>601.5</v>
      </c>
      <c r="C28" s="19" t="n">
        <f aca="false">C21+C26/12</f>
        <v>847.333333333333</v>
      </c>
      <c r="D28" s="19" t="n">
        <f aca="false">D21+D26/12</f>
        <v>1438.16666666667</v>
      </c>
      <c r="E28" s="18"/>
      <c r="F28" s="18"/>
      <c r="G28" s="18"/>
    </row>
    <row r="30" customFormat="false" ht="15" hidden="false" customHeight="true" outlineLevel="0" collapsed="false">
      <c r="A30" s="20" t="s">
        <v>143</v>
      </c>
      <c r="B30" s="20"/>
      <c r="C30" s="20"/>
      <c r="D30" s="20"/>
      <c r="E30" s="20"/>
      <c r="F30" s="20"/>
      <c r="G30" s="20"/>
    </row>
    <row r="31" customFormat="false" ht="15" hidden="false" customHeight="true" outlineLevel="0" collapsed="false">
      <c r="A31" s="9" t="s">
        <v>144</v>
      </c>
      <c r="B31" s="9"/>
      <c r="C31" s="9"/>
      <c r="D31" s="9"/>
      <c r="E31" s="9"/>
      <c r="F31" s="9"/>
      <c r="G31" s="9"/>
    </row>
    <row r="32" customFormat="false" ht="15" hidden="false" customHeight="true" outlineLevel="0" collapsed="false">
      <c r="A32" s="9" t="s">
        <v>145</v>
      </c>
      <c r="B32" s="9"/>
      <c r="C32" s="9"/>
      <c r="D32" s="9"/>
      <c r="E32" s="9"/>
      <c r="F32" s="9"/>
      <c r="G32" s="9"/>
    </row>
    <row r="33" customFormat="false" ht="15" hidden="false" customHeight="true" outlineLevel="0" collapsed="false">
      <c r="A33" s="9" t="s">
        <v>146</v>
      </c>
      <c r="B33" s="9"/>
      <c r="C33" s="9"/>
      <c r="D33" s="9"/>
      <c r="E33" s="9"/>
      <c r="F33" s="9"/>
      <c r="G33" s="9"/>
    </row>
    <row r="34" customFormat="false" ht="15" hidden="false" customHeight="true" outlineLevel="0" collapsed="false">
      <c r="A34" s="9" t="s">
        <v>147</v>
      </c>
      <c r="B34" s="9"/>
      <c r="C34" s="9"/>
      <c r="D34" s="9"/>
      <c r="E34" s="9"/>
      <c r="F34" s="9"/>
      <c r="G34" s="9"/>
    </row>
    <row r="35" customFormat="false" ht="15" hidden="false" customHeight="true" outlineLevel="0" collapsed="false">
      <c r="A35" s="9" t="s">
        <v>148</v>
      </c>
      <c r="B35" s="9"/>
      <c r="C35" s="9"/>
      <c r="D35" s="9"/>
      <c r="E35" s="9"/>
      <c r="F35" s="9"/>
      <c r="G35" s="9"/>
    </row>
  </sheetData>
  <mergeCells count="8">
    <mergeCell ref="A1:G1"/>
    <mergeCell ref="A2:G2"/>
    <mergeCell ref="A30:G30"/>
    <mergeCell ref="A31:G31"/>
    <mergeCell ref="A32:G32"/>
    <mergeCell ref="A33:G33"/>
    <mergeCell ref="A34:G34"/>
    <mergeCell ref="A35:G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14"/>
    <col collapsed="false" customWidth="true" hidden="false" outlineLevel="0" max="4" min="4" style="0" width="66"/>
  </cols>
  <sheetData>
    <row r="1" customFormat="false" ht="17.35" hidden="false" customHeight="false" outlineLevel="0" collapsed="false">
      <c r="A1" s="1" t="s">
        <v>149</v>
      </c>
      <c r="B1" s="1"/>
      <c r="C1" s="1"/>
      <c r="D1" s="1"/>
    </row>
    <row r="2" customFormat="false" ht="15" hidden="false" customHeight="false" outlineLevel="0" collapsed="false">
      <c r="A2" s="2" t="s">
        <v>150</v>
      </c>
      <c r="B2" s="2"/>
      <c r="C2" s="2"/>
      <c r="D2" s="2"/>
    </row>
    <row r="4" customFormat="false" ht="27.75" hidden="false" customHeight="true" outlineLevel="0" collapsed="false">
      <c r="A4" s="3" t="s">
        <v>151</v>
      </c>
      <c r="B4" s="3" t="s">
        <v>152</v>
      </c>
      <c r="C4" s="3" t="s">
        <v>153</v>
      </c>
      <c r="D4" s="3" t="s">
        <v>154</v>
      </c>
    </row>
    <row r="5" customFormat="false" ht="25.5" hidden="false" customHeight="true" outlineLevel="0" collapsed="false">
      <c r="A5" s="5" t="s">
        <v>155</v>
      </c>
      <c r="B5" s="21" t="n">
        <f aca="false">Inputs!$B$5</f>
        <v>73.58</v>
      </c>
      <c r="C5" s="22" t="n">
        <f aca="false">B5/Inputs!$B$5</f>
        <v>1</v>
      </c>
      <c r="D5" s="9" t="s">
        <v>156</v>
      </c>
    </row>
    <row r="6" customFormat="false" ht="25.5" hidden="false" customHeight="true" outlineLevel="0" collapsed="false">
      <c r="A6" s="5" t="s">
        <v>157</v>
      </c>
      <c r="B6" s="21" t="n">
        <f aca="false">-Inputs!$B$8</f>
        <v>-45.28</v>
      </c>
      <c r="C6" s="22" t="n">
        <f aca="false">B6/Inputs!$B$5</f>
        <v>-0.615384615384615</v>
      </c>
      <c r="D6" s="9" t="s">
        <v>158</v>
      </c>
    </row>
    <row r="7" customFormat="false" ht="25.5" hidden="false" customHeight="true" outlineLevel="0" collapsed="false">
      <c r="A7" s="5" t="s">
        <v>159</v>
      </c>
      <c r="B7" s="21" t="n">
        <f aca="false">-Inputs!$B$8*Inputs!$B$10</f>
        <v>-5.4336</v>
      </c>
      <c r="C7" s="22" t="n">
        <f aca="false">B7/Inputs!$B$5</f>
        <v>-0.0738461538461539</v>
      </c>
      <c r="D7" s="9" t="s">
        <v>160</v>
      </c>
    </row>
    <row r="8" customFormat="false" ht="25.5" hidden="false" customHeight="true" outlineLevel="0" collapsed="false">
      <c r="A8" s="5" t="s">
        <v>161</v>
      </c>
      <c r="B8" s="21" t="n">
        <f aca="false">-Inputs!$B$8*Inputs!$B$11</f>
        <v>-0.81504</v>
      </c>
      <c r="C8" s="22" t="n">
        <f aca="false">B8/Inputs!$B$5</f>
        <v>-0.0110769230769231</v>
      </c>
      <c r="D8" s="9" t="s">
        <v>162</v>
      </c>
    </row>
    <row r="9" customFormat="false" ht="25.5" hidden="false" customHeight="true" outlineLevel="0" collapsed="false">
      <c r="A9" s="5" t="s">
        <v>163</v>
      </c>
      <c r="B9" s="21" t="n">
        <f aca="false">-Inputs!$B$8*Inputs!$B$12</f>
        <v>-0.74712</v>
      </c>
      <c r="C9" s="22" t="n">
        <f aca="false">B9/Inputs!$B$5</f>
        <v>-0.0101538461538462</v>
      </c>
      <c r="D9" s="9" t="s">
        <v>164</v>
      </c>
    </row>
    <row r="10" customFormat="false" ht="25.5" hidden="false" customHeight="true" outlineLevel="0" collapsed="false">
      <c r="A10" s="5" t="s">
        <v>165</v>
      </c>
      <c r="B10" s="21" t="n">
        <f aca="false">-Inputs!$B$8*Inputs!$B$13</f>
        <v>-0</v>
      </c>
      <c r="C10" s="22" t="n">
        <f aca="false">B10/Inputs!$B$5</f>
        <v>-0</v>
      </c>
      <c r="D10" s="9" t="s">
        <v>166</v>
      </c>
    </row>
    <row r="11" customFormat="false" ht="15" hidden="false" customHeight="false" outlineLevel="0" collapsed="false">
      <c r="A11" s="14" t="s">
        <v>167</v>
      </c>
      <c r="B11" s="19" t="n">
        <f aca="false">SUM(B5:B10)</f>
        <v>21.30424</v>
      </c>
      <c r="C11" s="23" t="n">
        <f aca="false">B11/Inputs!$B$5</f>
        <v>0.289538461538462</v>
      </c>
      <c r="D11" s="24" t="s">
        <v>168</v>
      </c>
    </row>
    <row r="13" customFormat="false" ht="23.85" hidden="false" customHeight="false" outlineLevel="0" collapsed="false">
      <c r="A13" s="5" t="s">
        <v>169</v>
      </c>
      <c r="B13" s="21" t="n">
        <f aca="false">-Inputs!$B$9*(1+Inputs!$B$10+Inputs!$B$11+Inputs!$B$12+Inputs!$B$13)*Drivers!$B$5</f>
        <v>-14.60731125</v>
      </c>
      <c r="C13" s="22" t="n">
        <f aca="false">B13/Inputs!$B$5</f>
        <v>-0.198522849279696</v>
      </c>
      <c r="D13" s="9" t="s">
        <v>170</v>
      </c>
    </row>
    <row r="14" customFormat="false" ht="30" hidden="false" customHeight="true" outlineLevel="0" collapsed="false">
      <c r="A14" s="14" t="s">
        <v>171</v>
      </c>
      <c r="B14" s="19" t="n">
        <f aca="false">B11+B13</f>
        <v>6.69692875</v>
      </c>
      <c r="C14" s="23" t="n">
        <f aca="false">B14/Inputs!$B$5</f>
        <v>0.0910156122587659</v>
      </c>
      <c r="D14" s="24" t="s">
        <v>172</v>
      </c>
    </row>
    <row r="16" customFormat="false" ht="15" hidden="false" customHeight="false" outlineLevel="0" collapsed="false">
      <c r="A16" s="14" t="s">
        <v>173</v>
      </c>
      <c r="B16" s="19" t="n">
        <f aca="false">B11</f>
        <v>21.30424</v>
      </c>
      <c r="C16" s="23" t="n">
        <f aca="false">B16/Inputs!$B$5</f>
        <v>0.289538461538462</v>
      </c>
      <c r="D16" s="24" t="s">
        <v>174</v>
      </c>
    </row>
    <row r="18" customFormat="false" ht="43.5" hidden="false" customHeight="true" outlineLevel="0" collapsed="false">
      <c r="A18" s="20" t="s">
        <v>175</v>
      </c>
      <c r="B18" s="20"/>
      <c r="C18" s="20"/>
      <c r="D18" s="20"/>
    </row>
  </sheetData>
  <mergeCells count="3">
    <mergeCell ref="A1:D1"/>
    <mergeCell ref="A2:D2"/>
    <mergeCell ref="A18:D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66"/>
  </cols>
  <sheetData>
    <row r="1" customFormat="false" ht="17.35" hidden="false" customHeight="false" outlineLevel="0" collapsed="false">
      <c r="A1" s="1" t="s">
        <v>176</v>
      </c>
      <c r="B1" s="1"/>
      <c r="C1" s="1"/>
    </row>
    <row r="2" customFormat="false" ht="15" hidden="false" customHeight="false" outlineLevel="0" collapsed="false">
      <c r="A2" s="2" t="s">
        <v>177</v>
      </c>
      <c r="B2" s="2"/>
      <c r="C2" s="2"/>
    </row>
    <row r="4" customFormat="false" ht="27.75" hidden="false" customHeight="true" outlineLevel="0" collapsed="false">
      <c r="A4" s="3" t="s">
        <v>178</v>
      </c>
      <c r="B4" s="3" t="s">
        <v>22</v>
      </c>
      <c r="C4" s="3" t="s">
        <v>179</v>
      </c>
    </row>
    <row r="5" customFormat="false" ht="30" hidden="false" customHeight="true" outlineLevel="0" collapsed="false">
      <c r="A5" s="5" t="s">
        <v>180</v>
      </c>
      <c r="B5" s="21" t="n">
        <f aca="false">Costs!$C$28</f>
        <v>847.333333333333</v>
      </c>
      <c r="C5" s="9" t="s">
        <v>181</v>
      </c>
    </row>
    <row r="6" customFormat="false" ht="30" hidden="false" customHeight="true" outlineLevel="0" collapsed="false">
      <c r="A6" s="5" t="s">
        <v>182</v>
      </c>
      <c r="B6" s="25" t="n">
        <f aca="false">Costs!$C$28/UnitEconomics!$B$16</f>
        <v>39.7729904156794</v>
      </c>
      <c r="C6" s="9" t="s">
        <v>183</v>
      </c>
    </row>
    <row r="7" customFormat="false" ht="30" hidden="false" customHeight="true" outlineLevel="0" collapsed="false">
      <c r="A7" s="5" t="s">
        <v>184</v>
      </c>
      <c r="B7" s="25" t="n">
        <f aca="false">Costs!$C$28/UnitEconomics!$B$14</f>
        <v>126.525660487777</v>
      </c>
      <c r="C7" s="9" t="s">
        <v>185</v>
      </c>
    </row>
    <row r="8" customFormat="false" ht="30" hidden="false" customHeight="true" outlineLevel="0" collapsed="false">
      <c r="A8" s="5" t="s">
        <v>186</v>
      </c>
      <c r="B8" s="25" t="n">
        <f aca="false">(Costs!$C$28+5000)/UnitEconomics!$B$16</f>
        <v>274.468055811112</v>
      </c>
      <c r="C8" s="9" t="s">
        <v>187</v>
      </c>
    </row>
    <row r="9" customFormat="false" ht="30" hidden="false" customHeight="true" outlineLevel="0" collapsed="false">
      <c r="A9" s="5" t="s">
        <v>188</v>
      </c>
      <c r="B9" s="25" t="n">
        <f aca="false">(Costs!$C$28+5000)/UnitEconomics!$B$14</f>
        <v>873.136560297634</v>
      </c>
      <c r="C9" s="9" t="s">
        <v>189</v>
      </c>
    </row>
    <row r="10" customFormat="false" ht="30" hidden="false" customHeight="true" outlineLevel="0" collapsed="false">
      <c r="A10" s="5" t="s">
        <v>190</v>
      </c>
      <c r="B10" s="25" t="n">
        <f aca="false">Drivers!$B$14</f>
        <v>300</v>
      </c>
      <c r="C10" s="9" t="s">
        <v>191</v>
      </c>
    </row>
    <row r="11" customFormat="false" ht="30" hidden="false" customHeight="true" outlineLevel="0" collapsed="false">
      <c r="A11" s="5" t="s">
        <v>192</v>
      </c>
      <c r="B11" s="21" t="n">
        <f aca="false">Drivers!$B$14*(Inputs!$B$8*(1+Inputs!$B$10+Inputs!$B$11+Inputs!$B$12+Inputs!$B$13))</f>
        <v>15682.728</v>
      </c>
      <c r="C11" s="9" t="s">
        <v>193</v>
      </c>
    </row>
    <row r="12" customFormat="false" ht="30" hidden="false" customHeight="true" outlineLevel="0" collapsed="false">
      <c r="A12" s="4" t="s">
        <v>194</v>
      </c>
      <c r="B12" s="19" t="n">
        <f aca="false">Drivers!$B$14*(Inputs!$B$8*(1+Inputs!$B$10+Inputs!$B$11+Inputs!$B$12+Inputs!$B$13))*(Drivers!$B$6/30)</f>
        <v>7318.6064</v>
      </c>
      <c r="C12" s="9" t="s">
        <v>195</v>
      </c>
    </row>
    <row r="13" customFormat="false" ht="30" hidden="false" customHeight="true" outlineLevel="0" collapsed="false">
      <c r="A13" s="5" t="s">
        <v>196</v>
      </c>
      <c r="B13" s="21" t="n">
        <f aca="false">Drivers!$B$14*(Inputs!$B$8*(1+Inputs!$B$10+Inputs!$B$11+Inputs!$B$12+Inputs!$B$13))</f>
        <v>15682.728</v>
      </c>
      <c r="C13" s="9" t="s">
        <v>197</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3" min="2" style="0" width="11"/>
    <col collapsed="false" customWidth="true" hidden="false" outlineLevel="0" max="14" min="14" style="0" width="14"/>
  </cols>
  <sheetData>
    <row r="1" customFormat="false" ht="17.35" hidden="false" customHeight="false" outlineLevel="0" collapsed="false">
      <c r="A1" s="1" t="s">
        <v>198</v>
      </c>
      <c r="B1" s="1"/>
      <c r="C1" s="1"/>
      <c r="D1" s="1"/>
      <c r="E1" s="1"/>
      <c r="F1" s="1"/>
      <c r="G1" s="1"/>
      <c r="H1" s="1"/>
      <c r="I1" s="1"/>
      <c r="J1" s="1"/>
      <c r="K1" s="1"/>
      <c r="L1" s="1"/>
      <c r="M1" s="1"/>
      <c r="N1" s="1"/>
    </row>
    <row r="2" customFormat="false" ht="15" hidden="false" customHeight="false" outlineLevel="0" collapsed="false">
      <c r="A2" s="2" t="s">
        <v>199</v>
      </c>
      <c r="B2" s="2"/>
      <c r="C2" s="2"/>
      <c r="D2" s="2"/>
      <c r="E2" s="2"/>
      <c r="F2" s="2"/>
      <c r="G2" s="2"/>
      <c r="H2" s="2"/>
      <c r="I2" s="2"/>
      <c r="J2" s="2"/>
      <c r="K2" s="2"/>
      <c r="L2" s="2"/>
      <c r="M2" s="2"/>
      <c r="N2" s="2"/>
    </row>
    <row r="4" customFormat="false" ht="15" hidden="false" customHeight="false" outlineLevel="0" collapsed="false">
      <c r="A4" s="14" t="s">
        <v>200</v>
      </c>
      <c r="B4" s="14"/>
      <c r="C4" s="14"/>
      <c r="D4" s="14"/>
      <c r="E4" s="14"/>
      <c r="F4" s="14"/>
      <c r="G4" s="14"/>
      <c r="H4" s="14"/>
      <c r="I4" s="14"/>
      <c r="J4" s="14"/>
      <c r="K4" s="14"/>
      <c r="L4" s="14"/>
      <c r="M4" s="14"/>
      <c r="N4" s="14"/>
    </row>
    <row r="5" customFormat="false" ht="27.75" hidden="false" customHeight="true" outlineLevel="0" collapsed="false">
      <c r="A5" s="3" t="s">
        <v>201</v>
      </c>
      <c r="B5" s="3" t="s">
        <v>202</v>
      </c>
      <c r="C5" s="3" t="s">
        <v>203</v>
      </c>
      <c r="D5" s="3" t="s">
        <v>204</v>
      </c>
      <c r="E5" s="3" t="s">
        <v>205</v>
      </c>
      <c r="F5" s="3" t="s">
        <v>206</v>
      </c>
      <c r="G5" s="3" t="s">
        <v>207</v>
      </c>
      <c r="H5" s="3" t="s">
        <v>208</v>
      </c>
      <c r="I5" s="3" t="s">
        <v>209</v>
      </c>
      <c r="J5" s="3" t="s">
        <v>210</v>
      </c>
      <c r="K5" s="3" t="s">
        <v>211</v>
      </c>
      <c r="L5" s="3" t="s">
        <v>212</v>
      </c>
      <c r="M5" s="3" t="s">
        <v>213</v>
      </c>
      <c r="N5" s="3" t="s">
        <v>214</v>
      </c>
    </row>
    <row r="6" customFormat="false" ht="15" hidden="false" customHeight="false" outlineLevel="0" collapsed="false">
      <c r="A6" s="7" t="s">
        <v>215</v>
      </c>
      <c r="B6" s="26" t="n">
        <v>0</v>
      </c>
      <c r="C6" s="26" t="n">
        <v>0</v>
      </c>
      <c r="D6" s="26" t="n">
        <v>0</v>
      </c>
      <c r="E6" s="26" t="n">
        <v>40</v>
      </c>
      <c r="F6" s="26" t="n">
        <v>80</v>
      </c>
      <c r="G6" s="26" t="n">
        <v>130</v>
      </c>
      <c r="H6" s="26" t="n">
        <v>180</v>
      </c>
      <c r="I6" s="26" t="n">
        <v>230</v>
      </c>
      <c r="J6" s="26" t="n">
        <v>280</v>
      </c>
      <c r="K6" s="26" t="n">
        <v>320</v>
      </c>
      <c r="L6" s="26" t="n">
        <v>350</v>
      </c>
      <c r="M6" s="26" t="n">
        <v>380</v>
      </c>
      <c r="N6" s="27" t="n">
        <f aca="false">SUM(B6:M6)</f>
        <v>1990</v>
      </c>
    </row>
    <row r="7" customFormat="false" ht="15" hidden="false" customHeight="false" outlineLevel="0" collapsed="false">
      <c r="A7" s="7" t="s">
        <v>216</v>
      </c>
      <c r="B7" s="16" t="n">
        <f aca="false">B6*Inputs!$B$5</f>
        <v>0</v>
      </c>
      <c r="C7" s="16" t="n">
        <f aca="false">C6*Inputs!$B$5</f>
        <v>0</v>
      </c>
      <c r="D7" s="16" t="n">
        <f aca="false">D6*Inputs!$B$5</f>
        <v>0</v>
      </c>
      <c r="E7" s="16" t="n">
        <f aca="false">E6*Inputs!$B$5</f>
        <v>2943.2</v>
      </c>
      <c r="F7" s="16" t="n">
        <f aca="false">F6*Inputs!$B$5</f>
        <v>5886.4</v>
      </c>
      <c r="G7" s="16" t="n">
        <f aca="false">G6*Inputs!$B$5</f>
        <v>9565.4</v>
      </c>
      <c r="H7" s="16" t="n">
        <f aca="false">H6*Inputs!$B$5</f>
        <v>13244.4</v>
      </c>
      <c r="I7" s="16" t="n">
        <f aca="false">I6*Inputs!$B$5</f>
        <v>16923.4</v>
      </c>
      <c r="J7" s="16" t="n">
        <f aca="false">J6*Inputs!$B$5</f>
        <v>20602.4</v>
      </c>
      <c r="K7" s="16" t="n">
        <f aca="false">K6*Inputs!$B$5</f>
        <v>23545.6</v>
      </c>
      <c r="L7" s="16" t="n">
        <f aca="false">L6*Inputs!$B$5</f>
        <v>25753</v>
      </c>
      <c r="M7" s="16" t="n">
        <f aca="false">M6*Inputs!$B$5</f>
        <v>27960.4</v>
      </c>
      <c r="N7" s="28" t="n">
        <f aca="false">SUM(B7:M7)</f>
        <v>146424.2</v>
      </c>
    </row>
    <row r="8" customFormat="false" ht="15" hidden="false" customHeight="false" outlineLevel="0" collapsed="false">
      <c r="A8" s="7" t="s">
        <v>217</v>
      </c>
      <c r="B8" s="16" t="n">
        <f aca="false">B6*UnitEconomics!$B$16</f>
        <v>0</v>
      </c>
      <c r="C8" s="16" t="n">
        <f aca="false">C6*UnitEconomics!$B$16</f>
        <v>0</v>
      </c>
      <c r="D8" s="16" t="n">
        <f aca="false">D6*UnitEconomics!$B$16</f>
        <v>0</v>
      </c>
      <c r="E8" s="16" t="n">
        <f aca="false">E6*UnitEconomics!$B$16</f>
        <v>852.1696</v>
      </c>
      <c r="F8" s="16" t="n">
        <f aca="false">F6*UnitEconomics!$B$16</f>
        <v>1704.3392</v>
      </c>
      <c r="G8" s="16" t="n">
        <f aca="false">G6*UnitEconomics!$B$16</f>
        <v>2769.5512</v>
      </c>
      <c r="H8" s="16" t="n">
        <f aca="false">H6*UnitEconomics!$B$16</f>
        <v>3834.7632</v>
      </c>
      <c r="I8" s="16" t="n">
        <f aca="false">I6*UnitEconomics!$B$16</f>
        <v>4899.9752</v>
      </c>
      <c r="J8" s="16" t="n">
        <f aca="false">J6*UnitEconomics!$B$16</f>
        <v>5965.1872</v>
      </c>
      <c r="K8" s="16" t="n">
        <f aca="false">K6*UnitEconomics!$B$16</f>
        <v>6817.3568</v>
      </c>
      <c r="L8" s="16" t="n">
        <f aca="false">L6*UnitEconomics!$B$16</f>
        <v>7456.484</v>
      </c>
      <c r="M8" s="16" t="n">
        <f aca="false">M6*UnitEconomics!$B$16</f>
        <v>8095.6112</v>
      </c>
      <c r="N8" s="28" t="n">
        <f aca="false">SUM(B8:M8)</f>
        <v>42395.4376</v>
      </c>
    </row>
    <row r="9" customFormat="false" ht="15" hidden="false" customHeight="false" outlineLevel="0" collapsed="false">
      <c r="A9" s="7" t="s">
        <v>218</v>
      </c>
      <c r="B9" s="16" t="n">
        <f aca="false">-Costs!$C$28</f>
        <v>-847.333333333333</v>
      </c>
      <c r="C9" s="16" t="n">
        <f aca="false">-Costs!$C$28</f>
        <v>-847.333333333333</v>
      </c>
      <c r="D9" s="16" t="n">
        <f aca="false">-Costs!$C$28</f>
        <v>-847.333333333333</v>
      </c>
      <c r="E9" s="16" t="n">
        <f aca="false">-Costs!$C$28</f>
        <v>-847.333333333333</v>
      </c>
      <c r="F9" s="16" t="n">
        <f aca="false">-Costs!$C$28</f>
        <v>-847.333333333333</v>
      </c>
      <c r="G9" s="16" t="n">
        <f aca="false">-Costs!$C$28</f>
        <v>-847.333333333333</v>
      </c>
      <c r="H9" s="16" t="n">
        <f aca="false">-Costs!$C$28</f>
        <v>-847.333333333333</v>
      </c>
      <c r="I9" s="16" t="n">
        <f aca="false">-Costs!$C$28</f>
        <v>-847.333333333333</v>
      </c>
      <c r="J9" s="16" t="n">
        <f aca="false">-Costs!$C$28</f>
        <v>-847.333333333333</v>
      </c>
      <c r="K9" s="16" t="n">
        <f aca="false">-Costs!$C$28</f>
        <v>-847.333333333333</v>
      </c>
      <c r="L9" s="16" t="n">
        <f aca="false">-Costs!$C$28</f>
        <v>-847.333333333333</v>
      </c>
      <c r="M9" s="16" t="n">
        <f aca="false">-Costs!$C$28</f>
        <v>-847.333333333333</v>
      </c>
      <c r="N9" s="28" t="n">
        <f aca="false">SUM(B9:M9)</f>
        <v>-10168</v>
      </c>
    </row>
    <row r="10" customFormat="false" ht="15" hidden="false" customHeight="false" outlineLevel="0" collapsed="false">
      <c r="A10" s="7" t="s">
        <v>219</v>
      </c>
      <c r="B10" s="16" t="n">
        <f aca="false">-Drivers!$B$13</f>
        <v>-0</v>
      </c>
      <c r="C10" s="16" t="n">
        <f aca="false">-Drivers!$B$13</f>
        <v>-0</v>
      </c>
      <c r="D10" s="16" t="n">
        <f aca="false">-Drivers!$B$13</f>
        <v>-0</v>
      </c>
      <c r="E10" s="16" t="n">
        <f aca="false">-Drivers!$B$13</f>
        <v>-0</v>
      </c>
      <c r="F10" s="16" t="n">
        <f aca="false">-Drivers!$B$13</f>
        <v>-0</v>
      </c>
      <c r="G10" s="16" t="n">
        <f aca="false">-Drivers!$B$13</f>
        <v>-0</v>
      </c>
      <c r="H10" s="16" t="n">
        <f aca="false">-Drivers!$B$13</f>
        <v>-0</v>
      </c>
      <c r="I10" s="16" t="n">
        <f aca="false">-Drivers!$B$13</f>
        <v>-0</v>
      </c>
      <c r="J10" s="16" t="n">
        <f aca="false">-Drivers!$B$13</f>
        <v>-0</v>
      </c>
      <c r="K10" s="16" t="n">
        <f aca="false">-Drivers!$B$13</f>
        <v>-0</v>
      </c>
      <c r="L10" s="16" t="n">
        <f aca="false">-Drivers!$B$13</f>
        <v>-0</v>
      </c>
      <c r="M10" s="16" t="n">
        <f aca="false">-Drivers!$B$13</f>
        <v>-0</v>
      </c>
      <c r="N10" s="28" t="n">
        <f aca="false">SUM(B10:M10)</f>
        <v>0</v>
      </c>
    </row>
    <row r="11" customFormat="false" ht="15" hidden="false" customHeight="false" outlineLevel="0" collapsed="false">
      <c r="A11" s="8" t="s">
        <v>220</v>
      </c>
      <c r="B11" s="28" t="n">
        <f aca="false">B8+B9+B10</f>
        <v>-847.333333333333</v>
      </c>
      <c r="C11" s="28" t="n">
        <f aca="false">C8+C9+C10</f>
        <v>-847.333333333333</v>
      </c>
      <c r="D11" s="28" t="n">
        <f aca="false">D8+D9+D10</f>
        <v>-847.333333333333</v>
      </c>
      <c r="E11" s="28" t="n">
        <f aca="false">E8+E9+E10</f>
        <v>4.83626666666646</v>
      </c>
      <c r="F11" s="28" t="n">
        <f aca="false">F8+F9+F10</f>
        <v>857.005866666666</v>
      </c>
      <c r="G11" s="28" t="n">
        <f aca="false">G8+G9+G10</f>
        <v>1922.21786666667</v>
      </c>
      <c r="H11" s="28" t="n">
        <f aca="false">H8+H9+H10</f>
        <v>2987.42986666667</v>
      </c>
      <c r="I11" s="28" t="n">
        <f aca="false">I8+I9+I10</f>
        <v>4052.64186666667</v>
      </c>
      <c r="J11" s="28" t="n">
        <f aca="false">J8+J9+J10</f>
        <v>5117.85386666667</v>
      </c>
      <c r="K11" s="28" t="n">
        <f aca="false">K8+K9+K10</f>
        <v>5970.02346666667</v>
      </c>
      <c r="L11" s="28" t="n">
        <f aca="false">L8+L9+L10</f>
        <v>6609.15066666667</v>
      </c>
      <c r="M11" s="28" t="n">
        <f aca="false">M8+M9+M10</f>
        <v>7248.27786666667</v>
      </c>
    </row>
    <row r="12" customFormat="false" ht="15" hidden="false" customHeight="false" outlineLevel="0" collapsed="false">
      <c r="A12" s="14" t="s">
        <v>221</v>
      </c>
      <c r="B12" s="17" t="n">
        <f aca="false">B11-Costs!$C$14</f>
        <v>-11638.1333333333</v>
      </c>
      <c r="C12" s="17" t="n">
        <f aca="false">B12+C11</f>
        <v>-12485.4666666667</v>
      </c>
      <c r="D12" s="17" t="n">
        <f aca="false">C12+D11</f>
        <v>-13332.8</v>
      </c>
      <c r="E12" s="17" t="n">
        <f aca="false">D12+E11</f>
        <v>-13327.9637333333</v>
      </c>
      <c r="F12" s="17" t="n">
        <f aca="false">E12+F11</f>
        <v>-12470.9578666667</v>
      </c>
      <c r="G12" s="17" t="n">
        <f aca="false">F12+G11</f>
        <v>-10548.74</v>
      </c>
      <c r="H12" s="17" t="n">
        <f aca="false">G12+H11</f>
        <v>-7561.31013333334</v>
      </c>
      <c r="I12" s="17" t="n">
        <f aca="false">H12+I11</f>
        <v>-3508.66826666667</v>
      </c>
      <c r="J12" s="17" t="n">
        <f aca="false">I12+J11</f>
        <v>1609.1856</v>
      </c>
      <c r="K12" s="17" t="n">
        <f aca="false">J12+K11</f>
        <v>7579.20906666666</v>
      </c>
      <c r="L12" s="17" t="n">
        <f aca="false">K12+L11</f>
        <v>14188.3597333333</v>
      </c>
      <c r="M12" s="17" t="n">
        <f aca="false">L12+M11</f>
        <v>21436.6376</v>
      </c>
      <c r="N12" s="17" t="n">
        <f aca="false">MIN(B12:M12)</f>
        <v>-13332.8</v>
      </c>
    </row>
    <row r="13" customFormat="false" ht="15" hidden="false" customHeight="true" outlineLevel="0" collapsed="false">
      <c r="A13" s="9" t="s">
        <v>222</v>
      </c>
      <c r="B13" s="9"/>
      <c r="C13" s="9"/>
      <c r="D13" s="9"/>
      <c r="E13" s="9"/>
      <c r="F13" s="9"/>
      <c r="G13" s="9"/>
      <c r="H13" s="9"/>
      <c r="I13" s="9"/>
      <c r="J13" s="9"/>
      <c r="K13" s="9"/>
      <c r="L13" s="9"/>
      <c r="M13" s="9"/>
      <c r="N13" s="9"/>
    </row>
    <row r="15" customFormat="false" ht="15" hidden="false" customHeight="false" outlineLevel="0" collapsed="false">
      <c r="A15" s="14" t="s">
        <v>223</v>
      </c>
      <c r="B15" s="14"/>
      <c r="C15" s="14"/>
      <c r="D15" s="14"/>
      <c r="E15" s="14"/>
      <c r="F15" s="14"/>
      <c r="G15" s="14"/>
      <c r="H15" s="14"/>
      <c r="I15" s="14"/>
      <c r="J15" s="14"/>
      <c r="K15" s="14"/>
      <c r="L15" s="14"/>
      <c r="M15" s="14"/>
      <c r="N15" s="14"/>
    </row>
    <row r="16" customFormat="false" ht="27.75" hidden="false" customHeight="true" outlineLevel="0" collapsed="false">
      <c r="A16" s="3" t="s">
        <v>201</v>
      </c>
      <c r="B16" s="3" t="s">
        <v>202</v>
      </c>
      <c r="C16" s="3" t="s">
        <v>203</v>
      </c>
      <c r="D16" s="3" t="s">
        <v>204</v>
      </c>
      <c r="E16" s="3" t="s">
        <v>205</v>
      </c>
      <c r="F16" s="3" t="s">
        <v>206</v>
      </c>
      <c r="G16" s="3" t="s">
        <v>207</v>
      </c>
      <c r="H16" s="3" t="s">
        <v>208</v>
      </c>
      <c r="I16" s="3" t="s">
        <v>209</v>
      </c>
      <c r="J16" s="3" t="s">
        <v>210</v>
      </c>
      <c r="K16" s="3" t="s">
        <v>211</v>
      </c>
      <c r="L16" s="3" t="s">
        <v>212</v>
      </c>
      <c r="M16" s="3" t="s">
        <v>213</v>
      </c>
      <c r="N16" s="3" t="s">
        <v>214</v>
      </c>
    </row>
    <row r="17" customFormat="false" ht="15" hidden="false" customHeight="false" outlineLevel="0" collapsed="false">
      <c r="A17" s="7" t="s">
        <v>215</v>
      </c>
      <c r="B17" s="26" t="n">
        <v>0</v>
      </c>
      <c r="C17" s="26" t="n">
        <v>0</v>
      </c>
      <c r="D17" s="26" t="n">
        <v>0</v>
      </c>
      <c r="E17" s="26" t="n">
        <v>0</v>
      </c>
      <c r="F17" s="26" t="n">
        <v>0</v>
      </c>
      <c r="G17" s="26" t="n">
        <v>0</v>
      </c>
      <c r="H17" s="26" t="n">
        <v>30</v>
      </c>
      <c r="I17" s="26" t="n">
        <v>70</v>
      </c>
      <c r="J17" s="26" t="n">
        <v>110</v>
      </c>
      <c r="K17" s="26" t="n">
        <v>150</v>
      </c>
      <c r="L17" s="26" t="n">
        <v>190</v>
      </c>
      <c r="M17" s="26" t="n">
        <v>230</v>
      </c>
      <c r="N17" s="27" t="n">
        <f aca="false">SUM(B17:M17)</f>
        <v>780</v>
      </c>
    </row>
    <row r="18" customFormat="false" ht="15" hidden="false" customHeight="false" outlineLevel="0" collapsed="false">
      <c r="A18" s="7" t="s">
        <v>216</v>
      </c>
      <c r="B18" s="16" t="n">
        <f aca="false">B17*Inputs!$B$5</f>
        <v>0</v>
      </c>
      <c r="C18" s="16" t="n">
        <f aca="false">C17*Inputs!$B$5</f>
        <v>0</v>
      </c>
      <c r="D18" s="16" t="n">
        <f aca="false">D17*Inputs!$B$5</f>
        <v>0</v>
      </c>
      <c r="E18" s="16" t="n">
        <f aca="false">E17*Inputs!$B$5</f>
        <v>0</v>
      </c>
      <c r="F18" s="16" t="n">
        <f aca="false">F17*Inputs!$B$5</f>
        <v>0</v>
      </c>
      <c r="G18" s="16" t="n">
        <f aca="false">G17*Inputs!$B$5</f>
        <v>0</v>
      </c>
      <c r="H18" s="16" t="n">
        <f aca="false">H17*Inputs!$B$5</f>
        <v>2207.4</v>
      </c>
      <c r="I18" s="16" t="n">
        <f aca="false">I17*Inputs!$B$5</f>
        <v>5150.6</v>
      </c>
      <c r="J18" s="16" t="n">
        <f aca="false">J17*Inputs!$B$5</f>
        <v>8093.8</v>
      </c>
      <c r="K18" s="16" t="n">
        <f aca="false">K17*Inputs!$B$5</f>
        <v>11037</v>
      </c>
      <c r="L18" s="16" t="n">
        <f aca="false">L17*Inputs!$B$5</f>
        <v>13980.2</v>
      </c>
      <c r="M18" s="16" t="n">
        <f aca="false">M17*Inputs!$B$5</f>
        <v>16923.4</v>
      </c>
      <c r="N18" s="28" t="n">
        <f aca="false">SUM(B18:M18)</f>
        <v>57392.4</v>
      </c>
    </row>
    <row r="19" customFormat="false" ht="15" hidden="false" customHeight="false" outlineLevel="0" collapsed="false">
      <c r="A19" s="7" t="s">
        <v>217</v>
      </c>
      <c r="B19" s="16" t="n">
        <f aca="false">B17*UnitEconomics!$B$16</f>
        <v>0</v>
      </c>
      <c r="C19" s="16" t="n">
        <f aca="false">C17*UnitEconomics!$B$16</f>
        <v>0</v>
      </c>
      <c r="D19" s="16" t="n">
        <f aca="false">D17*UnitEconomics!$B$16</f>
        <v>0</v>
      </c>
      <c r="E19" s="16" t="n">
        <f aca="false">E17*UnitEconomics!$B$16</f>
        <v>0</v>
      </c>
      <c r="F19" s="16" t="n">
        <f aca="false">F17*UnitEconomics!$B$16</f>
        <v>0</v>
      </c>
      <c r="G19" s="16" t="n">
        <f aca="false">G17*UnitEconomics!$B$16</f>
        <v>0</v>
      </c>
      <c r="H19" s="16" t="n">
        <f aca="false">H17*UnitEconomics!$B$16</f>
        <v>639.1272</v>
      </c>
      <c r="I19" s="16" t="n">
        <f aca="false">I17*UnitEconomics!$B$16</f>
        <v>1491.2968</v>
      </c>
      <c r="J19" s="16" t="n">
        <f aca="false">J17*UnitEconomics!$B$16</f>
        <v>2343.4664</v>
      </c>
      <c r="K19" s="16" t="n">
        <f aca="false">K17*UnitEconomics!$B$16</f>
        <v>3195.636</v>
      </c>
      <c r="L19" s="16" t="n">
        <f aca="false">L17*UnitEconomics!$B$16</f>
        <v>4047.8056</v>
      </c>
      <c r="M19" s="16" t="n">
        <f aca="false">M17*UnitEconomics!$B$16</f>
        <v>4899.9752</v>
      </c>
      <c r="N19" s="28" t="n">
        <f aca="false">SUM(B19:M19)</f>
        <v>16617.3072</v>
      </c>
    </row>
    <row r="20" customFormat="false" ht="15" hidden="false" customHeight="false" outlineLevel="0" collapsed="false">
      <c r="A20" s="7" t="s">
        <v>218</v>
      </c>
      <c r="B20" s="16" t="n">
        <f aca="false">-Costs!$C$28</f>
        <v>-847.333333333333</v>
      </c>
      <c r="C20" s="16" t="n">
        <f aca="false">-Costs!$C$28</f>
        <v>-847.333333333333</v>
      </c>
      <c r="D20" s="16" t="n">
        <f aca="false">-Costs!$C$28</f>
        <v>-847.333333333333</v>
      </c>
      <c r="E20" s="16" t="n">
        <f aca="false">-Costs!$C$28</f>
        <v>-847.333333333333</v>
      </c>
      <c r="F20" s="16" t="n">
        <f aca="false">-Costs!$C$28</f>
        <v>-847.333333333333</v>
      </c>
      <c r="G20" s="16" t="n">
        <f aca="false">-Costs!$C$28</f>
        <v>-847.333333333333</v>
      </c>
      <c r="H20" s="16" t="n">
        <f aca="false">-Costs!$C$28</f>
        <v>-847.333333333333</v>
      </c>
      <c r="I20" s="16" t="n">
        <f aca="false">-Costs!$C$28</f>
        <v>-847.333333333333</v>
      </c>
      <c r="J20" s="16" t="n">
        <f aca="false">-Costs!$C$28</f>
        <v>-847.333333333333</v>
      </c>
      <c r="K20" s="16" t="n">
        <f aca="false">-Costs!$C$28</f>
        <v>-847.333333333333</v>
      </c>
      <c r="L20" s="16" t="n">
        <f aca="false">-Costs!$C$28</f>
        <v>-847.333333333333</v>
      </c>
      <c r="M20" s="16" t="n">
        <f aca="false">-Costs!$C$28</f>
        <v>-847.333333333333</v>
      </c>
      <c r="N20" s="28" t="n">
        <f aca="false">SUM(B20:M20)</f>
        <v>-10168</v>
      </c>
    </row>
    <row r="21" customFormat="false" ht="15" hidden="false" customHeight="false" outlineLevel="0" collapsed="false">
      <c r="A21" s="7" t="s">
        <v>219</v>
      </c>
      <c r="B21" s="16" t="n">
        <f aca="false">-Drivers!$B$13</f>
        <v>-0</v>
      </c>
      <c r="C21" s="16" t="n">
        <f aca="false">-Drivers!$B$13</f>
        <v>-0</v>
      </c>
      <c r="D21" s="16" t="n">
        <f aca="false">-Drivers!$B$13</f>
        <v>-0</v>
      </c>
      <c r="E21" s="16" t="n">
        <f aca="false">-Drivers!$B$13</f>
        <v>-0</v>
      </c>
      <c r="F21" s="16" t="n">
        <f aca="false">-Drivers!$B$13</f>
        <v>-0</v>
      </c>
      <c r="G21" s="16" t="n">
        <f aca="false">-Drivers!$B$13</f>
        <v>-0</v>
      </c>
      <c r="H21" s="16" t="n">
        <f aca="false">-Drivers!$B$13</f>
        <v>-0</v>
      </c>
      <c r="I21" s="16" t="n">
        <f aca="false">-Drivers!$B$13</f>
        <v>-0</v>
      </c>
      <c r="J21" s="16" t="n">
        <f aca="false">-Drivers!$B$13</f>
        <v>-0</v>
      </c>
      <c r="K21" s="16" t="n">
        <f aca="false">-Drivers!$B$13</f>
        <v>-0</v>
      </c>
      <c r="L21" s="16" t="n">
        <f aca="false">-Drivers!$B$13</f>
        <v>-0</v>
      </c>
      <c r="M21" s="16" t="n">
        <f aca="false">-Drivers!$B$13</f>
        <v>-0</v>
      </c>
      <c r="N21" s="28" t="n">
        <f aca="false">SUM(B21:M21)</f>
        <v>0</v>
      </c>
    </row>
    <row r="22" customFormat="false" ht="15" hidden="false" customHeight="false" outlineLevel="0" collapsed="false">
      <c r="A22" s="8" t="s">
        <v>220</v>
      </c>
      <c r="B22" s="28" t="n">
        <f aca="false">B19+B20+B21</f>
        <v>-847.333333333333</v>
      </c>
      <c r="C22" s="28" t="n">
        <f aca="false">C19+C20+C21</f>
        <v>-847.333333333333</v>
      </c>
      <c r="D22" s="28" t="n">
        <f aca="false">D19+D20+D21</f>
        <v>-847.333333333333</v>
      </c>
      <c r="E22" s="28" t="n">
        <f aca="false">E19+E20+E21</f>
        <v>-847.333333333333</v>
      </c>
      <c r="F22" s="28" t="n">
        <f aca="false">F19+F20+F21</f>
        <v>-847.333333333333</v>
      </c>
      <c r="G22" s="28" t="n">
        <f aca="false">G19+G20+G21</f>
        <v>-847.333333333333</v>
      </c>
      <c r="H22" s="28" t="n">
        <f aca="false">H19+H20+H21</f>
        <v>-208.206133333333</v>
      </c>
      <c r="I22" s="28" t="n">
        <f aca="false">I19+I20+I21</f>
        <v>643.963466666667</v>
      </c>
      <c r="J22" s="28" t="n">
        <f aca="false">J19+J20+J21</f>
        <v>1496.13306666667</v>
      </c>
      <c r="K22" s="28" t="n">
        <f aca="false">K19+K20+K21</f>
        <v>2348.30266666667</v>
      </c>
      <c r="L22" s="28" t="n">
        <f aca="false">L19+L20+L21</f>
        <v>3200.47226666667</v>
      </c>
      <c r="M22" s="28" t="n">
        <f aca="false">M19+M20+M21</f>
        <v>4052.64186666667</v>
      </c>
    </row>
    <row r="23" customFormat="false" ht="15" hidden="false" customHeight="false" outlineLevel="0" collapsed="false">
      <c r="A23" s="14" t="s">
        <v>221</v>
      </c>
      <c r="B23" s="17" t="n">
        <f aca="false">B22-Costs!$C$14</f>
        <v>-11638.1333333333</v>
      </c>
      <c r="C23" s="17" t="n">
        <f aca="false">B23+C22</f>
        <v>-12485.4666666667</v>
      </c>
      <c r="D23" s="17" t="n">
        <f aca="false">C23+D22</f>
        <v>-13332.8</v>
      </c>
      <c r="E23" s="17" t="n">
        <f aca="false">D23+E22</f>
        <v>-14180.1333333333</v>
      </c>
      <c r="F23" s="17" t="n">
        <f aca="false">E23+F22</f>
        <v>-15027.4666666667</v>
      </c>
      <c r="G23" s="17" t="n">
        <f aca="false">F23+G22</f>
        <v>-15874.8</v>
      </c>
      <c r="H23" s="17" t="n">
        <f aca="false">G23+H22</f>
        <v>-16083.0061333333</v>
      </c>
      <c r="I23" s="17" t="n">
        <f aca="false">H23+I22</f>
        <v>-15439.0426666667</v>
      </c>
      <c r="J23" s="17" t="n">
        <f aca="false">I23+J22</f>
        <v>-13942.9096</v>
      </c>
      <c r="K23" s="17" t="n">
        <f aca="false">J23+K22</f>
        <v>-11594.6069333333</v>
      </c>
      <c r="L23" s="17" t="n">
        <f aca="false">K23+L22</f>
        <v>-8394.13466666667</v>
      </c>
      <c r="M23" s="17" t="n">
        <f aca="false">L23+M22</f>
        <v>-4341.49280000001</v>
      </c>
      <c r="N23" s="17" t="n">
        <f aca="false">MIN(B23:M23)</f>
        <v>-16083.0061333333</v>
      </c>
    </row>
    <row r="24" customFormat="false" ht="15" hidden="false" customHeight="true" outlineLevel="0" collapsed="false">
      <c r="A24" s="9" t="s">
        <v>222</v>
      </c>
      <c r="B24" s="9"/>
      <c r="C24" s="9"/>
      <c r="D24" s="9"/>
      <c r="E24" s="9"/>
      <c r="F24" s="9"/>
      <c r="G24" s="9"/>
      <c r="H24" s="9"/>
      <c r="I24" s="9"/>
      <c r="J24" s="9"/>
      <c r="K24" s="9"/>
      <c r="L24" s="9"/>
      <c r="M24" s="9"/>
      <c r="N24" s="9"/>
    </row>
    <row r="26" customFormat="false" ht="15" hidden="false" customHeight="false" outlineLevel="0" collapsed="false">
      <c r="A26" s="14" t="s">
        <v>224</v>
      </c>
      <c r="B26" s="14"/>
      <c r="C26" s="14"/>
      <c r="D26" s="14"/>
      <c r="E26" s="14"/>
      <c r="F26" s="14"/>
      <c r="G26" s="14"/>
      <c r="H26" s="14"/>
      <c r="I26" s="14"/>
      <c r="J26" s="14"/>
      <c r="K26" s="14"/>
      <c r="L26" s="14"/>
      <c r="M26" s="14"/>
      <c r="N26" s="14"/>
    </row>
    <row r="27" customFormat="false" ht="27.75" hidden="false" customHeight="true" outlineLevel="0" collapsed="false">
      <c r="A27" s="3" t="s">
        <v>201</v>
      </c>
      <c r="B27" s="3" t="s">
        <v>202</v>
      </c>
      <c r="C27" s="3" t="s">
        <v>203</v>
      </c>
      <c r="D27" s="3" t="s">
        <v>204</v>
      </c>
      <c r="E27" s="3" t="s">
        <v>205</v>
      </c>
      <c r="F27" s="3" t="s">
        <v>206</v>
      </c>
      <c r="G27" s="3" t="s">
        <v>207</v>
      </c>
      <c r="H27" s="3" t="s">
        <v>208</v>
      </c>
      <c r="I27" s="3" t="s">
        <v>209</v>
      </c>
      <c r="J27" s="3" t="s">
        <v>210</v>
      </c>
      <c r="K27" s="3" t="s">
        <v>211</v>
      </c>
      <c r="L27" s="3" t="s">
        <v>212</v>
      </c>
      <c r="M27" s="3" t="s">
        <v>213</v>
      </c>
      <c r="N27" s="3" t="s">
        <v>214</v>
      </c>
    </row>
    <row r="28" customFormat="false" ht="15" hidden="false" customHeight="false" outlineLevel="0" collapsed="false">
      <c r="A28" s="7" t="s">
        <v>215</v>
      </c>
      <c r="B28" s="26" t="n">
        <v>0</v>
      </c>
      <c r="C28" s="26" t="n">
        <v>0</v>
      </c>
      <c r="D28" s="26" t="n">
        <v>0</v>
      </c>
      <c r="E28" s="26" t="n">
        <v>40</v>
      </c>
      <c r="F28" s="26" t="n">
        <v>80</v>
      </c>
      <c r="G28" s="26" t="n">
        <v>130</v>
      </c>
      <c r="H28" s="26" t="n">
        <v>180</v>
      </c>
      <c r="I28" s="26" t="n">
        <v>230</v>
      </c>
      <c r="J28" s="26" t="n">
        <v>280</v>
      </c>
      <c r="K28" s="26" t="n">
        <v>320</v>
      </c>
      <c r="L28" s="26" t="n">
        <v>350</v>
      </c>
      <c r="M28" s="26" t="n">
        <v>380</v>
      </c>
      <c r="N28" s="27" t="n">
        <f aca="false">SUM(B28:M28)</f>
        <v>1990</v>
      </c>
    </row>
    <row r="29" customFormat="false" ht="15" hidden="false" customHeight="false" outlineLevel="0" collapsed="false">
      <c r="A29" s="7" t="s">
        <v>216</v>
      </c>
      <c r="B29" s="16" t="n">
        <f aca="false">B28*Inputs!$B$5</f>
        <v>0</v>
      </c>
      <c r="C29" s="16" t="n">
        <f aca="false">C28*Inputs!$B$5</f>
        <v>0</v>
      </c>
      <c r="D29" s="16" t="n">
        <f aca="false">D28*Inputs!$B$5</f>
        <v>0</v>
      </c>
      <c r="E29" s="16" t="n">
        <f aca="false">E28*Inputs!$B$5</f>
        <v>2943.2</v>
      </c>
      <c r="F29" s="16" t="n">
        <f aca="false">F28*Inputs!$B$5</f>
        <v>5886.4</v>
      </c>
      <c r="G29" s="16" t="n">
        <f aca="false">G28*Inputs!$B$5</f>
        <v>9565.4</v>
      </c>
      <c r="H29" s="16" t="n">
        <f aca="false">H28*Inputs!$B$5</f>
        <v>13244.4</v>
      </c>
      <c r="I29" s="16" t="n">
        <f aca="false">I28*Inputs!$B$5</f>
        <v>16923.4</v>
      </c>
      <c r="J29" s="16" t="n">
        <f aca="false">J28*Inputs!$B$5</f>
        <v>20602.4</v>
      </c>
      <c r="K29" s="16" t="n">
        <f aca="false">K28*Inputs!$B$5</f>
        <v>23545.6</v>
      </c>
      <c r="L29" s="16" t="n">
        <f aca="false">L28*Inputs!$B$5</f>
        <v>25753</v>
      </c>
      <c r="M29" s="16" t="n">
        <f aca="false">M28*Inputs!$B$5</f>
        <v>27960.4</v>
      </c>
      <c r="N29" s="28" t="n">
        <f aca="false">SUM(B29:M29)</f>
        <v>146424.2</v>
      </c>
    </row>
    <row r="30" customFormat="false" ht="15" hidden="false" customHeight="false" outlineLevel="0" collapsed="false">
      <c r="A30" s="7" t="s">
        <v>217</v>
      </c>
      <c r="B30" s="16" t="n">
        <f aca="false">B28*UnitEconomics!$B$14</f>
        <v>0</v>
      </c>
      <c r="C30" s="16" t="n">
        <f aca="false">C28*UnitEconomics!$B$14</f>
        <v>0</v>
      </c>
      <c r="D30" s="16" t="n">
        <f aca="false">D28*UnitEconomics!$B$14</f>
        <v>0</v>
      </c>
      <c r="E30" s="16" t="n">
        <f aca="false">E28*UnitEconomics!$B$14</f>
        <v>267.87715</v>
      </c>
      <c r="F30" s="16" t="n">
        <f aca="false">F28*UnitEconomics!$B$14</f>
        <v>535.7543</v>
      </c>
      <c r="G30" s="16" t="n">
        <f aca="false">G28*UnitEconomics!$B$14</f>
        <v>870.6007375</v>
      </c>
      <c r="H30" s="16" t="n">
        <f aca="false">H28*UnitEconomics!$B$14</f>
        <v>1205.447175</v>
      </c>
      <c r="I30" s="16" t="n">
        <f aca="false">I28*UnitEconomics!$B$14</f>
        <v>1540.2936125</v>
      </c>
      <c r="J30" s="16" t="n">
        <f aca="false">J28*UnitEconomics!$B$14</f>
        <v>1875.14005</v>
      </c>
      <c r="K30" s="16" t="n">
        <f aca="false">K28*UnitEconomics!$B$14</f>
        <v>2143.0172</v>
      </c>
      <c r="L30" s="16" t="n">
        <f aca="false">L28*UnitEconomics!$B$14</f>
        <v>2343.9250625</v>
      </c>
      <c r="M30" s="16" t="n">
        <f aca="false">M28*UnitEconomics!$B$14</f>
        <v>2544.832925</v>
      </c>
      <c r="N30" s="28" t="n">
        <f aca="false">SUM(B30:M30)</f>
        <v>13326.8882125</v>
      </c>
    </row>
    <row r="31" customFormat="false" ht="15" hidden="false" customHeight="false" outlineLevel="0" collapsed="false">
      <c r="A31" s="7" t="s">
        <v>218</v>
      </c>
      <c r="B31" s="16" t="n">
        <f aca="false">-Costs!$C$28</f>
        <v>-847.333333333333</v>
      </c>
      <c r="C31" s="16" t="n">
        <f aca="false">-Costs!$C$28</f>
        <v>-847.333333333333</v>
      </c>
      <c r="D31" s="16" t="n">
        <f aca="false">-Costs!$C$28</f>
        <v>-847.333333333333</v>
      </c>
      <c r="E31" s="16" t="n">
        <f aca="false">-Costs!$C$28</f>
        <v>-847.333333333333</v>
      </c>
      <c r="F31" s="16" t="n">
        <f aca="false">-Costs!$C$28</f>
        <v>-847.333333333333</v>
      </c>
      <c r="G31" s="16" t="n">
        <f aca="false">-Costs!$C$28</f>
        <v>-847.333333333333</v>
      </c>
      <c r="H31" s="16" t="n">
        <f aca="false">-Costs!$C$28</f>
        <v>-847.333333333333</v>
      </c>
      <c r="I31" s="16" t="n">
        <f aca="false">-Costs!$C$28</f>
        <v>-847.333333333333</v>
      </c>
      <c r="J31" s="16" t="n">
        <f aca="false">-Costs!$C$28</f>
        <v>-847.333333333333</v>
      </c>
      <c r="K31" s="16" t="n">
        <f aca="false">-Costs!$C$28</f>
        <v>-847.333333333333</v>
      </c>
      <c r="L31" s="16" t="n">
        <f aca="false">-Costs!$C$28</f>
        <v>-847.333333333333</v>
      </c>
      <c r="M31" s="16" t="n">
        <f aca="false">-Costs!$C$28</f>
        <v>-847.333333333333</v>
      </c>
      <c r="N31" s="28" t="n">
        <f aca="false">SUM(B31:M31)</f>
        <v>-10168</v>
      </c>
    </row>
    <row r="32" customFormat="false" ht="15" hidden="false" customHeight="false" outlineLevel="0" collapsed="false">
      <c r="A32" s="7" t="s">
        <v>219</v>
      </c>
      <c r="B32" s="16" t="n">
        <f aca="false">-Drivers!$B$13</f>
        <v>-0</v>
      </c>
      <c r="C32" s="16" t="n">
        <f aca="false">-Drivers!$B$13</f>
        <v>-0</v>
      </c>
      <c r="D32" s="16" t="n">
        <f aca="false">-Drivers!$B$13</f>
        <v>-0</v>
      </c>
      <c r="E32" s="16" t="n">
        <f aca="false">-Drivers!$B$13</f>
        <v>-0</v>
      </c>
      <c r="F32" s="16" t="n">
        <f aca="false">-Drivers!$B$13</f>
        <v>-0</v>
      </c>
      <c r="G32" s="16" t="n">
        <f aca="false">-Drivers!$B$13</f>
        <v>-0</v>
      </c>
      <c r="H32" s="16" t="n">
        <f aca="false">-Drivers!$B$13</f>
        <v>-0</v>
      </c>
      <c r="I32" s="16" t="n">
        <f aca="false">-Drivers!$B$13</f>
        <v>-0</v>
      </c>
      <c r="J32" s="16" t="n">
        <f aca="false">-Drivers!$B$13</f>
        <v>-0</v>
      </c>
      <c r="K32" s="16" t="n">
        <f aca="false">-Drivers!$B$13</f>
        <v>-0</v>
      </c>
      <c r="L32" s="16" t="n">
        <f aca="false">-Drivers!$B$13</f>
        <v>-0</v>
      </c>
      <c r="M32" s="16" t="n">
        <f aca="false">-Drivers!$B$13</f>
        <v>-0</v>
      </c>
      <c r="N32" s="28" t="n">
        <f aca="false">SUM(B32:M32)</f>
        <v>0</v>
      </c>
    </row>
    <row r="33" customFormat="false" ht="15" hidden="false" customHeight="false" outlineLevel="0" collapsed="false">
      <c r="A33" s="8" t="s">
        <v>220</v>
      </c>
      <c r="B33" s="28" t="n">
        <f aca="false">B30+B31+B32</f>
        <v>-847.333333333333</v>
      </c>
      <c r="C33" s="28" t="n">
        <f aca="false">C30+C31+C32</f>
        <v>-847.333333333333</v>
      </c>
      <c r="D33" s="28" t="n">
        <f aca="false">D30+D31+D32</f>
        <v>-847.333333333333</v>
      </c>
      <c r="E33" s="28" t="n">
        <f aca="false">E30+E31+E32</f>
        <v>-579.456183333334</v>
      </c>
      <c r="F33" s="28" t="n">
        <f aca="false">F30+F31+F32</f>
        <v>-311.579033333334</v>
      </c>
      <c r="G33" s="28" t="n">
        <f aca="false">G30+G31+G32</f>
        <v>23.2674041666661</v>
      </c>
      <c r="H33" s="28" t="n">
        <f aca="false">H30+H31+H32</f>
        <v>358.113841666666</v>
      </c>
      <c r="I33" s="28" t="n">
        <f aca="false">I30+I31+I32</f>
        <v>692.960279166666</v>
      </c>
      <c r="J33" s="28" t="n">
        <f aca="false">J30+J31+J32</f>
        <v>1027.80671666667</v>
      </c>
      <c r="K33" s="28" t="n">
        <f aca="false">K30+K31+K32</f>
        <v>1295.68386666667</v>
      </c>
      <c r="L33" s="28" t="n">
        <f aca="false">L30+L31+L32</f>
        <v>1496.59172916667</v>
      </c>
      <c r="M33" s="28" t="n">
        <f aca="false">M30+M31+M32</f>
        <v>1697.49959166666</v>
      </c>
    </row>
    <row r="34" customFormat="false" ht="15" hidden="false" customHeight="false" outlineLevel="0" collapsed="false">
      <c r="A34" s="14" t="s">
        <v>221</v>
      </c>
      <c r="B34" s="17" t="n">
        <f aca="false">B33-Costs!$C$14</f>
        <v>-11638.1333333333</v>
      </c>
      <c r="C34" s="17" t="n">
        <f aca="false">B34+C33</f>
        <v>-12485.4666666667</v>
      </c>
      <c r="D34" s="17" t="n">
        <f aca="false">C34+D33</f>
        <v>-13332.8</v>
      </c>
      <c r="E34" s="17" t="n">
        <f aca="false">D34+E33</f>
        <v>-13912.2561833333</v>
      </c>
      <c r="F34" s="17" t="n">
        <f aca="false">E34+F33</f>
        <v>-14223.8352166667</v>
      </c>
      <c r="G34" s="17" t="n">
        <f aca="false">F34+G33</f>
        <v>-14200.5678125</v>
      </c>
      <c r="H34" s="17" t="n">
        <f aca="false">G34+H33</f>
        <v>-13842.4539708333</v>
      </c>
      <c r="I34" s="17" t="n">
        <f aca="false">H34+I33</f>
        <v>-13149.4936916667</v>
      </c>
      <c r="J34" s="17" t="n">
        <f aca="false">I34+J33</f>
        <v>-12121.686975</v>
      </c>
      <c r="K34" s="17" t="n">
        <f aca="false">J34+K33</f>
        <v>-10826.0031083333</v>
      </c>
      <c r="L34" s="17" t="n">
        <f aca="false">K34+L33</f>
        <v>-9329.41137916667</v>
      </c>
      <c r="M34" s="17" t="n">
        <f aca="false">L34+M33</f>
        <v>-7631.91178750001</v>
      </c>
      <c r="N34" s="17" t="n">
        <f aca="false">MIN(B34:M34)</f>
        <v>-14223.8352166667</v>
      </c>
    </row>
    <row r="35" customFormat="false" ht="15" hidden="false" customHeight="true" outlineLevel="0" collapsed="false">
      <c r="A35" s="9" t="s">
        <v>222</v>
      </c>
      <c r="B35" s="9"/>
      <c r="C35" s="9"/>
      <c r="D35" s="9"/>
      <c r="E35" s="9"/>
      <c r="F35" s="9"/>
      <c r="G35" s="9"/>
      <c r="H35" s="9"/>
      <c r="I35" s="9"/>
      <c r="J35" s="9"/>
      <c r="K35" s="9"/>
      <c r="L35" s="9"/>
      <c r="M35" s="9"/>
      <c r="N35" s="9"/>
    </row>
    <row r="37" customFormat="false" ht="15" hidden="false" customHeight="false" outlineLevel="0" collapsed="false">
      <c r="A37" s="14" t="s">
        <v>225</v>
      </c>
      <c r="B37" s="14"/>
      <c r="C37" s="14"/>
      <c r="D37" s="14"/>
      <c r="E37" s="14"/>
      <c r="F37" s="14"/>
      <c r="G37" s="14"/>
      <c r="H37" s="14"/>
      <c r="I37" s="14"/>
      <c r="J37" s="14"/>
      <c r="K37" s="14"/>
      <c r="L37" s="14"/>
      <c r="M37" s="14"/>
      <c r="N37" s="14"/>
    </row>
    <row r="38" customFormat="false" ht="27.75" hidden="false" customHeight="true" outlineLevel="0" collapsed="false">
      <c r="A38" s="3" t="s">
        <v>201</v>
      </c>
      <c r="B38" s="3" t="s">
        <v>202</v>
      </c>
      <c r="C38" s="3" t="s">
        <v>203</v>
      </c>
      <c r="D38" s="3" t="s">
        <v>204</v>
      </c>
      <c r="E38" s="3" t="s">
        <v>205</v>
      </c>
      <c r="F38" s="3" t="s">
        <v>206</v>
      </c>
      <c r="G38" s="3" t="s">
        <v>207</v>
      </c>
      <c r="H38" s="3" t="s">
        <v>208</v>
      </c>
      <c r="I38" s="3" t="s">
        <v>209</v>
      </c>
      <c r="J38" s="3" t="s">
        <v>210</v>
      </c>
      <c r="K38" s="3" t="s">
        <v>211</v>
      </c>
      <c r="L38" s="3" t="s">
        <v>212</v>
      </c>
      <c r="M38" s="3" t="s">
        <v>213</v>
      </c>
      <c r="N38" s="3" t="s">
        <v>214</v>
      </c>
    </row>
    <row r="39" customFormat="false" ht="15" hidden="false" customHeight="false" outlineLevel="0" collapsed="false">
      <c r="A39" s="7" t="s">
        <v>215</v>
      </c>
      <c r="B39" s="26" t="n">
        <v>0</v>
      </c>
      <c r="C39" s="26" t="n">
        <v>0</v>
      </c>
      <c r="D39" s="26" t="n">
        <v>0</v>
      </c>
      <c r="E39" s="26" t="n">
        <v>0</v>
      </c>
      <c r="F39" s="26" t="n">
        <v>0</v>
      </c>
      <c r="G39" s="26" t="n">
        <v>0</v>
      </c>
      <c r="H39" s="26" t="n">
        <v>0</v>
      </c>
      <c r="I39" s="26" t="n">
        <v>0</v>
      </c>
      <c r="J39" s="26" t="n">
        <v>0</v>
      </c>
      <c r="K39" s="26" t="n">
        <v>0</v>
      </c>
      <c r="L39" s="26" t="n">
        <v>0</v>
      </c>
      <c r="M39" s="26" t="n">
        <v>0</v>
      </c>
      <c r="N39" s="27" t="n">
        <f aca="false">SUM(B39:M39)</f>
        <v>0</v>
      </c>
    </row>
    <row r="40" customFormat="false" ht="15" hidden="false" customHeight="false" outlineLevel="0" collapsed="false">
      <c r="A40" s="7" t="s">
        <v>216</v>
      </c>
      <c r="B40" s="16" t="n">
        <f aca="false">B39*Inputs!$B$5</f>
        <v>0</v>
      </c>
      <c r="C40" s="16" t="n">
        <f aca="false">C39*Inputs!$B$5</f>
        <v>0</v>
      </c>
      <c r="D40" s="16" t="n">
        <f aca="false">D39*Inputs!$B$5</f>
        <v>0</v>
      </c>
      <c r="E40" s="16" t="n">
        <f aca="false">E39*Inputs!$B$5</f>
        <v>0</v>
      </c>
      <c r="F40" s="16" t="n">
        <f aca="false">F39*Inputs!$B$5</f>
        <v>0</v>
      </c>
      <c r="G40" s="16" t="n">
        <f aca="false">G39*Inputs!$B$5</f>
        <v>0</v>
      </c>
      <c r="H40" s="16" t="n">
        <f aca="false">H39*Inputs!$B$5</f>
        <v>0</v>
      </c>
      <c r="I40" s="16" t="n">
        <f aca="false">I39*Inputs!$B$5</f>
        <v>0</v>
      </c>
      <c r="J40" s="16" t="n">
        <f aca="false">J39*Inputs!$B$5</f>
        <v>0</v>
      </c>
      <c r="K40" s="16" t="n">
        <f aca="false">K39*Inputs!$B$5</f>
        <v>0</v>
      </c>
      <c r="L40" s="16" t="n">
        <f aca="false">L39*Inputs!$B$5</f>
        <v>0</v>
      </c>
      <c r="M40" s="16" t="n">
        <f aca="false">M39*Inputs!$B$5</f>
        <v>0</v>
      </c>
      <c r="N40" s="28" t="n">
        <f aca="false">SUM(B40:M40)</f>
        <v>0</v>
      </c>
    </row>
    <row r="41" customFormat="false" ht="15" hidden="false" customHeight="false" outlineLevel="0" collapsed="false">
      <c r="A41" s="7" t="s">
        <v>217</v>
      </c>
      <c r="B41" s="16" t="n">
        <f aca="false">B39*UnitEconomics!$B$16</f>
        <v>0</v>
      </c>
      <c r="C41" s="16" t="n">
        <f aca="false">C39*UnitEconomics!$B$16</f>
        <v>0</v>
      </c>
      <c r="D41" s="16" t="n">
        <f aca="false">D39*UnitEconomics!$B$16</f>
        <v>0</v>
      </c>
      <c r="E41" s="16" t="n">
        <f aca="false">E39*UnitEconomics!$B$16</f>
        <v>0</v>
      </c>
      <c r="F41" s="16" t="n">
        <f aca="false">F39*UnitEconomics!$B$16</f>
        <v>0</v>
      </c>
      <c r="G41" s="16" t="n">
        <f aca="false">G39*UnitEconomics!$B$16</f>
        <v>0</v>
      </c>
      <c r="H41" s="16" t="n">
        <f aca="false">H39*UnitEconomics!$B$16</f>
        <v>0</v>
      </c>
      <c r="I41" s="16" t="n">
        <f aca="false">I39*UnitEconomics!$B$16</f>
        <v>0</v>
      </c>
      <c r="J41" s="16" t="n">
        <f aca="false">J39*UnitEconomics!$B$16</f>
        <v>0</v>
      </c>
      <c r="K41" s="16" t="n">
        <f aca="false">K39*UnitEconomics!$B$16</f>
        <v>0</v>
      </c>
      <c r="L41" s="16" t="n">
        <f aca="false">L39*UnitEconomics!$B$16</f>
        <v>0</v>
      </c>
      <c r="M41" s="16" t="n">
        <f aca="false">M39*UnitEconomics!$B$16</f>
        <v>0</v>
      </c>
      <c r="N41" s="28" t="n">
        <f aca="false">SUM(B41:M41)</f>
        <v>0</v>
      </c>
    </row>
    <row r="42" customFormat="false" ht="15" hidden="false" customHeight="false" outlineLevel="0" collapsed="false">
      <c r="A42" s="7" t="s">
        <v>218</v>
      </c>
      <c r="B42" s="16" t="n">
        <f aca="false">-Costs!$C$28</f>
        <v>-847.333333333333</v>
      </c>
      <c r="C42" s="16" t="n">
        <f aca="false">-Costs!$C$28</f>
        <v>-847.333333333333</v>
      </c>
      <c r="D42" s="16" t="n">
        <f aca="false">-Costs!$C$28</f>
        <v>-847.333333333333</v>
      </c>
      <c r="E42" s="16" t="n">
        <f aca="false">-Costs!$C$28</f>
        <v>-847.333333333333</v>
      </c>
      <c r="F42" s="16" t="n">
        <f aca="false">-Costs!$C$28</f>
        <v>-847.333333333333</v>
      </c>
      <c r="G42" s="16" t="n">
        <f aca="false">-Costs!$C$28</f>
        <v>-847.333333333333</v>
      </c>
      <c r="H42" s="16" t="n">
        <f aca="false">-Costs!$C$28</f>
        <v>-847.333333333333</v>
      </c>
      <c r="I42" s="16" t="n">
        <f aca="false">-Costs!$C$28</f>
        <v>-847.333333333333</v>
      </c>
      <c r="J42" s="16" t="n">
        <f aca="false">-Costs!$C$28</f>
        <v>-847.333333333333</v>
      </c>
      <c r="K42" s="16" t="n">
        <f aca="false">-Costs!$C$28</f>
        <v>-847.333333333333</v>
      </c>
      <c r="L42" s="16" t="n">
        <f aca="false">-Costs!$C$28</f>
        <v>-847.333333333333</v>
      </c>
      <c r="M42" s="16" t="n">
        <f aca="false">-Costs!$C$28</f>
        <v>-847.333333333333</v>
      </c>
      <c r="N42" s="28" t="n">
        <f aca="false">SUM(B42:M42)</f>
        <v>-10168</v>
      </c>
    </row>
    <row r="43" customFormat="false" ht="15" hidden="false" customHeight="false" outlineLevel="0" collapsed="false">
      <c r="A43" s="7" t="s">
        <v>219</v>
      </c>
      <c r="B43" s="16" t="n">
        <f aca="false">-Drivers!$B$13</f>
        <v>-0</v>
      </c>
      <c r="C43" s="16" t="n">
        <f aca="false">-Drivers!$B$13</f>
        <v>-0</v>
      </c>
      <c r="D43" s="16" t="n">
        <f aca="false">-Drivers!$B$13</f>
        <v>-0</v>
      </c>
      <c r="E43" s="16" t="n">
        <f aca="false">-Drivers!$B$13</f>
        <v>-0</v>
      </c>
      <c r="F43" s="16" t="n">
        <f aca="false">-Drivers!$B$13</f>
        <v>-0</v>
      </c>
      <c r="G43" s="16" t="n">
        <f aca="false">-Drivers!$B$13</f>
        <v>-0</v>
      </c>
      <c r="H43" s="16" t="n">
        <f aca="false">-Drivers!$B$13</f>
        <v>-0</v>
      </c>
      <c r="I43" s="16" t="n">
        <f aca="false">-Drivers!$B$13</f>
        <v>-0</v>
      </c>
      <c r="J43" s="16" t="n">
        <f aca="false">-Drivers!$B$13</f>
        <v>-0</v>
      </c>
      <c r="K43" s="16" t="n">
        <f aca="false">-Drivers!$B$13</f>
        <v>-0</v>
      </c>
      <c r="L43" s="16" t="n">
        <f aca="false">-Drivers!$B$13</f>
        <v>-0</v>
      </c>
      <c r="M43" s="16" t="n">
        <f aca="false">-Drivers!$B$13</f>
        <v>-0</v>
      </c>
      <c r="N43" s="28" t="n">
        <f aca="false">SUM(B43:M43)</f>
        <v>0</v>
      </c>
    </row>
    <row r="44" customFormat="false" ht="15" hidden="false" customHeight="false" outlineLevel="0" collapsed="false">
      <c r="A44" s="8" t="s">
        <v>220</v>
      </c>
      <c r="B44" s="28" t="n">
        <f aca="false">B41+B42+B43</f>
        <v>-847.333333333333</v>
      </c>
      <c r="C44" s="28" t="n">
        <f aca="false">C41+C42+C43</f>
        <v>-847.333333333333</v>
      </c>
      <c r="D44" s="28" t="n">
        <f aca="false">D41+D42+D43</f>
        <v>-847.333333333333</v>
      </c>
      <c r="E44" s="28" t="n">
        <f aca="false">E41+E42+E43</f>
        <v>-847.333333333333</v>
      </c>
      <c r="F44" s="28" t="n">
        <f aca="false">F41+F42+F43</f>
        <v>-847.333333333333</v>
      </c>
      <c r="G44" s="28" t="n">
        <f aca="false">G41+G42+G43</f>
        <v>-847.333333333333</v>
      </c>
      <c r="H44" s="28" t="n">
        <f aca="false">H41+H42+H43</f>
        <v>-847.333333333333</v>
      </c>
      <c r="I44" s="28" t="n">
        <f aca="false">I41+I42+I43</f>
        <v>-847.333333333333</v>
      </c>
      <c r="J44" s="28" t="n">
        <f aca="false">J41+J42+J43</f>
        <v>-847.333333333333</v>
      </c>
      <c r="K44" s="28" t="n">
        <f aca="false">K41+K42+K43</f>
        <v>-847.333333333333</v>
      </c>
      <c r="L44" s="28" t="n">
        <f aca="false">L41+L42+L43</f>
        <v>-847.333333333333</v>
      </c>
      <c r="M44" s="28" t="n">
        <f aca="false">M41+M42+M43</f>
        <v>-847.333333333333</v>
      </c>
    </row>
    <row r="45" customFormat="false" ht="15" hidden="false" customHeight="false" outlineLevel="0" collapsed="false">
      <c r="A45" s="14" t="s">
        <v>221</v>
      </c>
      <c r="B45" s="17" t="n">
        <f aca="false">B44-Costs!$C$14</f>
        <v>-11638.1333333333</v>
      </c>
      <c r="C45" s="17" t="n">
        <f aca="false">B45+C44</f>
        <v>-12485.4666666667</v>
      </c>
      <c r="D45" s="17" t="n">
        <f aca="false">C45+D44</f>
        <v>-13332.8</v>
      </c>
      <c r="E45" s="17" t="n">
        <f aca="false">D45+E44</f>
        <v>-14180.1333333333</v>
      </c>
      <c r="F45" s="17" t="n">
        <f aca="false">E45+F44</f>
        <v>-15027.4666666667</v>
      </c>
      <c r="G45" s="17" t="n">
        <f aca="false">F45+G44</f>
        <v>-15874.8</v>
      </c>
      <c r="H45" s="17" t="n">
        <f aca="false">G45+H44</f>
        <v>-16722.1333333333</v>
      </c>
      <c r="I45" s="17" t="n">
        <f aca="false">H45+I44</f>
        <v>-17569.4666666667</v>
      </c>
      <c r="J45" s="17" t="n">
        <f aca="false">I45+J44</f>
        <v>-18416.8</v>
      </c>
      <c r="K45" s="17" t="n">
        <f aca="false">J45+K44</f>
        <v>-19264.1333333333</v>
      </c>
      <c r="L45" s="17" t="n">
        <f aca="false">K45+L44</f>
        <v>-20111.4666666667</v>
      </c>
      <c r="M45" s="17" t="n">
        <f aca="false">L45+M44</f>
        <v>-20958.8</v>
      </c>
      <c r="N45" s="17" t="n">
        <f aca="false">MIN(B45:M45)</f>
        <v>-20958.8</v>
      </c>
    </row>
    <row r="46" customFormat="false" ht="15" hidden="false" customHeight="true" outlineLevel="0" collapsed="false">
      <c r="A46" s="9" t="s">
        <v>222</v>
      </c>
      <c r="B46" s="9"/>
      <c r="C46" s="9"/>
      <c r="D46" s="9"/>
      <c r="E46" s="9"/>
      <c r="F46" s="9"/>
      <c r="G46" s="9"/>
      <c r="H46" s="9"/>
      <c r="I46" s="9"/>
      <c r="J46" s="9"/>
      <c r="K46" s="9"/>
      <c r="L46" s="9"/>
      <c r="M46" s="9"/>
      <c r="N46" s="9"/>
    </row>
    <row r="48" customFormat="false" ht="31.5" hidden="false" customHeight="true" outlineLevel="0" collapsed="false">
      <c r="A48" s="20" t="s">
        <v>226</v>
      </c>
      <c r="B48" s="20"/>
      <c r="C48" s="20"/>
      <c r="D48" s="20"/>
      <c r="E48" s="20"/>
      <c r="F48" s="20"/>
      <c r="G48" s="20"/>
      <c r="H48" s="20"/>
      <c r="I48" s="20"/>
      <c r="J48" s="20"/>
      <c r="K48" s="20"/>
      <c r="L48" s="20"/>
      <c r="M48" s="20"/>
      <c r="N48" s="20"/>
    </row>
  </sheetData>
  <mergeCells count="11">
    <mergeCell ref="A1:N1"/>
    <mergeCell ref="A2:N2"/>
    <mergeCell ref="A4:N4"/>
    <mergeCell ref="A13:N13"/>
    <mergeCell ref="A15:N15"/>
    <mergeCell ref="A24:N24"/>
    <mergeCell ref="A26:N26"/>
    <mergeCell ref="A35:N35"/>
    <mergeCell ref="A37:N37"/>
    <mergeCell ref="A46:N46"/>
    <mergeCell ref="A48:N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8"/>
    <col collapsed="false" customWidth="true" hidden="false" outlineLevel="0" max="3" min="3" style="0" width="66"/>
  </cols>
  <sheetData>
    <row r="1" customFormat="false" ht="17.35" hidden="false" customHeight="false" outlineLevel="0" collapsed="false">
      <c r="A1" s="1" t="s">
        <v>227</v>
      </c>
      <c r="B1" s="1"/>
      <c r="C1" s="1"/>
    </row>
    <row r="2" customFormat="false" ht="15" hidden="false" customHeight="false" outlineLevel="0" collapsed="false">
      <c r="A2" s="2" t="s">
        <v>228</v>
      </c>
      <c r="B2" s="2"/>
      <c r="C2" s="2"/>
    </row>
    <row r="4" customFormat="false" ht="27.75" hidden="false" customHeight="true" outlineLevel="0" collapsed="false">
      <c r="A4" s="3" t="s">
        <v>178</v>
      </c>
      <c r="B4" s="3" t="s">
        <v>22</v>
      </c>
      <c r="C4" s="3" t="s">
        <v>98</v>
      </c>
    </row>
    <row r="5" customFormat="false" ht="25.5" hidden="false" customHeight="true" outlineLevel="0" collapsed="false">
      <c r="A5" s="5" t="s">
        <v>229</v>
      </c>
      <c r="B5" s="21" t="n">
        <f aca="false">Inputs!$B$7</f>
        <v>100.14</v>
      </c>
      <c r="C5" s="9" t="s">
        <v>230</v>
      </c>
    </row>
    <row r="6" customFormat="false" ht="25.5" hidden="false" customHeight="true" outlineLevel="0" collapsed="false">
      <c r="A6" s="5" t="s">
        <v>231</v>
      </c>
      <c r="B6" s="25" t="n">
        <f aca="false">Drivers!$B$11</f>
        <v>38</v>
      </c>
      <c r="C6" s="9" t="s">
        <v>232</v>
      </c>
    </row>
    <row r="7" customFormat="false" ht="25.5" hidden="false" customHeight="true" outlineLevel="0" collapsed="false">
      <c r="A7" s="5" t="s">
        <v>233</v>
      </c>
      <c r="B7" s="22" t="n">
        <f aca="false">Drivers!$B$10</f>
        <v>0.55</v>
      </c>
      <c r="C7" s="9" t="s">
        <v>234</v>
      </c>
    </row>
    <row r="8" customFormat="false" ht="25.5" hidden="false" customHeight="true" outlineLevel="0" collapsed="false">
      <c r="A8" s="5" t="s">
        <v>235</v>
      </c>
      <c r="B8" s="25" t="n">
        <f aca="false">Drivers!$B$11*Drivers!$B$10*52/12</f>
        <v>90.5666666666667</v>
      </c>
      <c r="C8" s="9" t="s">
        <v>236</v>
      </c>
    </row>
    <row r="9" customFormat="false" ht="25.5" hidden="false" customHeight="true" outlineLevel="0" collapsed="false">
      <c r="A9" s="5" t="s">
        <v>237</v>
      </c>
      <c r="B9" s="21" t="n">
        <f aca="false">B8*Inputs!$B$7</f>
        <v>9069.346</v>
      </c>
      <c r="C9" s="9" t="s">
        <v>238</v>
      </c>
    </row>
    <row r="10" customFormat="false" ht="25.5" hidden="false" customHeight="true" outlineLevel="0" collapsed="false">
      <c r="A10" s="5" t="s">
        <v>239</v>
      </c>
      <c r="B10" s="21" t="n">
        <f aca="false">Costs!$C$28</f>
        <v>847.333333333333</v>
      </c>
      <c r="C10" s="9" t="s">
        <v>240</v>
      </c>
    </row>
    <row r="11" customFormat="false" ht="25.5" hidden="false" customHeight="true" outlineLevel="0" collapsed="false">
      <c r="A11" s="4" t="s">
        <v>241</v>
      </c>
      <c r="B11" s="19" t="n">
        <f aca="false">B9-B10</f>
        <v>8222.01266666667</v>
      </c>
      <c r="C11" s="9" t="s">
        <v>242</v>
      </c>
    </row>
    <row r="12" customFormat="false" ht="25.5" hidden="false" customHeight="true" outlineLevel="0" collapsed="false">
      <c r="A12" s="4" t="s">
        <v>243</v>
      </c>
      <c r="B12" s="19" t="n">
        <f aca="false">B11*12</f>
        <v>98664.152</v>
      </c>
      <c r="C12" s="9" t="s">
        <v>244</v>
      </c>
    </row>
    <row r="13" customFormat="false" ht="25.5" hidden="false" customHeight="true" outlineLevel="0" collapsed="false">
      <c r="A13" s="5" t="s">
        <v>245</v>
      </c>
      <c r="B13" s="25" t="n">
        <f aca="false">Costs!$C$28/Inputs!$B$7</f>
        <v>8.46148725118168</v>
      </c>
      <c r="C13" s="9" t="s">
        <v>246</v>
      </c>
    </row>
    <row r="14" customFormat="false" ht="25.5" hidden="false" customHeight="true" outlineLevel="0" collapsed="false">
      <c r="A14" s="5" t="s">
        <v>247</v>
      </c>
      <c r="B14" s="21" t="n">
        <f aca="false">636+108+Drivers!$B$9+139.2+290</f>
        <v>3673.2</v>
      </c>
      <c r="C14" s="9" t="s">
        <v>248</v>
      </c>
    </row>
    <row r="16" customFormat="false" ht="15" hidden="false" customHeight="false" outlineLevel="0" collapsed="false">
      <c r="A16" s="14" t="s">
        <v>249</v>
      </c>
      <c r="B16" s="14"/>
      <c r="C16" s="14"/>
    </row>
    <row r="17" customFormat="false" ht="27.75" hidden="false" customHeight="true" outlineLevel="0" collapsed="false">
      <c r="A17" s="3" t="s">
        <v>250</v>
      </c>
      <c r="B17" s="3" t="s">
        <v>251</v>
      </c>
      <c r="C17" s="3" t="s">
        <v>235</v>
      </c>
    </row>
    <row r="18" customFormat="false" ht="15" hidden="false" customHeight="false" outlineLevel="0" collapsed="false">
      <c r="A18" s="10" t="n">
        <v>0.25</v>
      </c>
      <c r="B18" s="16" t="n">
        <f aca="false">(Drivers!$B$11*A18*52/12*Inputs!$B$7-Costs!$C$28)*12</f>
        <v>39301.16</v>
      </c>
      <c r="C18" s="25" t="n">
        <f aca="false">Drivers!$B$11*A18*52/12</f>
        <v>41.1666666666667</v>
      </c>
    </row>
    <row r="19" customFormat="false" ht="15" hidden="false" customHeight="false" outlineLevel="0" collapsed="false">
      <c r="A19" s="10" t="n">
        <v>0.35</v>
      </c>
      <c r="B19" s="16" t="n">
        <f aca="false">(Drivers!$B$11*A19*52/12*Inputs!$B$7-Costs!$C$28)*12</f>
        <v>59088.824</v>
      </c>
      <c r="C19" s="25" t="n">
        <f aca="false">Drivers!$B$11*A19*52/12</f>
        <v>57.6333333333333</v>
      </c>
    </row>
    <row r="20" customFormat="false" ht="15" hidden="false" customHeight="false" outlineLevel="0" collapsed="false">
      <c r="A20" s="10" t="n">
        <v>0.45</v>
      </c>
      <c r="B20" s="16" t="n">
        <f aca="false">(Drivers!$B$11*A20*52/12*Inputs!$B$7-Costs!$C$28)*12</f>
        <v>78876.488</v>
      </c>
      <c r="C20" s="25" t="n">
        <f aca="false">Drivers!$B$11*A20*52/12</f>
        <v>74.1</v>
      </c>
    </row>
    <row r="21" customFormat="false" ht="15" hidden="false" customHeight="false" outlineLevel="0" collapsed="false">
      <c r="A21" s="10" t="n">
        <v>0.55</v>
      </c>
      <c r="B21" s="16" t="n">
        <f aca="false">(Drivers!$B$11*A21*52/12*Inputs!$B$7-Costs!$C$28)*12</f>
        <v>98664.152</v>
      </c>
      <c r="C21" s="25" t="n">
        <f aca="false">Drivers!$B$11*A21*52/12</f>
        <v>90.5666666666667</v>
      </c>
    </row>
    <row r="22" customFormat="false" ht="15" hidden="false" customHeight="false" outlineLevel="0" collapsed="false">
      <c r="A22" s="10" t="n">
        <v>0.65</v>
      </c>
      <c r="B22" s="16" t="n">
        <f aca="false">(Drivers!$B$11*A22*52/12*Inputs!$B$7-Costs!$C$28)*12</f>
        <v>118451.816</v>
      </c>
      <c r="C22" s="25" t="n">
        <f aca="false">Drivers!$B$11*A22*52/12</f>
        <v>107.033333333333</v>
      </c>
    </row>
    <row r="23" customFormat="false" ht="15" hidden="false" customHeight="false" outlineLevel="0" collapsed="false">
      <c r="A23" s="10" t="n">
        <v>0.75</v>
      </c>
      <c r="B23" s="16" t="n">
        <f aca="false">(Drivers!$B$11*A23*52/12*Inputs!$B$7-Costs!$C$28)*12</f>
        <v>138239.48</v>
      </c>
      <c r="C23" s="25" t="n">
        <f aca="false">Drivers!$B$11*A23*52/12</f>
        <v>123.5</v>
      </c>
    </row>
    <row r="25" customFormat="false" ht="55.5" hidden="false" customHeight="true" outlineLevel="0" collapsed="false">
      <c r="A25" s="20" t="s">
        <v>252</v>
      </c>
      <c r="B25" s="20"/>
      <c r="C25" s="20"/>
    </row>
  </sheetData>
  <mergeCells count="4">
    <mergeCell ref="A1:C1"/>
    <mergeCell ref="A2:C2"/>
    <mergeCell ref="A16:C16"/>
    <mergeCell ref="A25:C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2" min="2" style="0" width="18"/>
    <col collapsed="false" customWidth="true" hidden="false" outlineLevel="0" max="3" min="3" style="0" width="16"/>
    <col collapsed="false" customWidth="true" hidden="false" outlineLevel="0" max="4" min="4" style="0" width="56"/>
  </cols>
  <sheetData>
    <row r="1" customFormat="false" ht="17.35" hidden="false" customHeight="false" outlineLevel="0" collapsed="false">
      <c r="A1" s="1" t="s">
        <v>253</v>
      </c>
      <c r="B1" s="1"/>
      <c r="C1" s="1"/>
      <c r="D1" s="1"/>
    </row>
    <row r="2" customFormat="false" ht="15" hidden="false" customHeight="false" outlineLevel="0" collapsed="false">
      <c r="A2" s="2" t="s">
        <v>254</v>
      </c>
      <c r="B2" s="2"/>
      <c r="C2" s="2"/>
      <c r="D2" s="2"/>
    </row>
    <row r="4" customFormat="false" ht="27.75" hidden="false" customHeight="true" outlineLevel="0" collapsed="false">
      <c r="A4" s="3" t="s">
        <v>255</v>
      </c>
      <c r="B4" s="3" t="s">
        <v>256</v>
      </c>
      <c r="C4" s="3" t="s">
        <v>257</v>
      </c>
      <c r="D4" s="3" t="s">
        <v>258</v>
      </c>
    </row>
    <row r="5" customFormat="false" ht="27.75" hidden="false" customHeight="true" outlineLevel="0" collapsed="false">
      <c r="A5" s="5" t="s">
        <v>259</v>
      </c>
      <c r="B5" s="29" t="n">
        <f aca="false">UnitEconomics!$B$16</f>
        <v>21.30424</v>
      </c>
      <c r="C5" s="21" t="s">
        <v>46</v>
      </c>
      <c r="D5" s="9" t="s">
        <v>97</v>
      </c>
    </row>
    <row r="6" customFormat="false" ht="27.75" hidden="false" customHeight="true" outlineLevel="0" collapsed="false">
      <c r="A6" s="5" t="s">
        <v>260</v>
      </c>
      <c r="B6" s="29" t="n">
        <f aca="false">UnitEconomics!$B$16-Inputs!$B$9*(1+Inputs!$B$10+Inputs!$B$11+Inputs!$B$12)*0.4</f>
        <v>-2.06745800000001</v>
      </c>
      <c r="C6" s="21" t="n">
        <f aca="false">B6-$B$5</f>
        <v>-23.371698</v>
      </c>
      <c r="D6" s="9" t="s">
        <v>261</v>
      </c>
    </row>
    <row r="7" customFormat="false" ht="27.75" hidden="false" customHeight="true" outlineLevel="0" collapsed="false">
      <c r="A7" s="5" t="s">
        <v>262</v>
      </c>
      <c r="B7" s="29" t="n">
        <f aca="false">UnitEconomics!$B$14</f>
        <v>6.69692875</v>
      </c>
      <c r="C7" s="21" t="n">
        <f aca="false">B7-$B$5</f>
        <v>-14.60731125</v>
      </c>
      <c r="D7" s="9" t="s">
        <v>62</v>
      </c>
    </row>
    <row r="8" customFormat="false" ht="27.75" hidden="false" customHeight="true" outlineLevel="0" collapsed="false">
      <c r="A8" s="5" t="s">
        <v>263</v>
      </c>
      <c r="B8" s="29" t="n">
        <f aca="false">Inputs!$B$5-Inputs!$B$9*(1+Inputs!$B$10+Inputs!$B$11+Inputs!$B$12+Inputs!$B$13)</f>
        <v>15.150755</v>
      </c>
      <c r="C8" s="21" t="n">
        <f aca="false">B8-$B$5</f>
        <v>-6.153485</v>
      </c>
      <c r="D8" s="9" t="s">
        <v>264</v>
      </c>
    </row>
    <row r="9" customFormat="false" ht="27.75" hidden="false" customHeight="true" outlineLevel="0" collapsed="false">
      <c r="A9" s="5" t="s">
        <v>265</v>
      </c>
      <c r="B9" s="29" t="n">
        <f aca="false">Inputs!$B$5-Inputs!$B$8*(1+Inputs!$B$10+Inputs!$B$11+Inputs!$B$12+0.0485)</f>
        <v>19.10816</v>
      </c>
      <c r="C9" s="21" t="n">
        <f aca="false">B9-$B$5</f>
        <v>-2.19608000000001</v>
      </c>
      <c r="D9" s="9" t="s">
        <v>266</v>
      </c>
    </row>
    <row r="10" customFormat="false" ht="27.75" hidden="false" customHeight="true" outlineLevel="0" collapsed="false">
      <c r="A10" s="5" t="s">
        <v>267</v>
      </c>
      <c r="B10" s="29" t="n">
        <f aca="false">Inputs!$B$5-Inputs!$B$8*(1+Inputs!$B$10+0.03+Inputs!$B$12+Inputs!$B$13)</f>
        <v>20.76088</v>
      </c>
      <c r="C10" s="21" t="n">
        <f aca="false">B10-$B$5</f>
        <v>-0.543360000000003</v>
      </c>
      <c r="D10" s="9" t="s">
        <v>268</v>
      </c>
    </row>
    <row r="12" customFormat="false" ht="55.5" hidden="false" customHeight="true" outlineLevel="0" collapsed="false">
      <c r="A12" s="20" t="s">
        <v>269</v>
      </c>
      <c r="B12" s="20"/>
      <c r="C12" s="20"/>
      <c r="D12" s="20"/>
    </row>
  </sheetData>
  <mergeCells count="3">
    <mergeCell ref="A1:D1"/>
    <mergeCell ref="A2:D2"/>
    <mergeCell ref="A12:D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12"/>
    <col collapsed="false" customWidth="true" hidden="false" outlineLevel="0" max="5" min="4" style="0" width="14"/>
    <col collapsed="false" customWidth="true" hidden="false" outlineLevel="0" max="6" min="6" style="0" width="62"/>
  </cols>
  <sheetData>
    <row r="1" customFormat="false" ht="17.35" hidden="false" customHeight="false" outlineLevel="0" collapsed="false">
      <c r="A1" s="1" t="s">
        <v>270</v>
      </c>
      <c r="B1" s="1"/>
      <c r="C1" s="1"/>
      <c r="D1" s="1"/>
      <c r="E1" s="1"/>
      <c r="F1" s="1"/>
    </row>
    <row r="2" customFormat="false" ht="15" hidden="false" customHeight="false" outlineLevel="0" collapsed="false">
      <c r="A2" s="2" t="s">
        <v>271</v>
      </c>
      <c r="B2" s="2"/>
      <c r="C2" s="2"/>
      <c r="D2" s="2"/>
      <c r="E2" s="2"/>
      <c r="F2" s="2"/>
    </row>
    <row r="4" customFormat="false" ht="27.75" hidden="false" customHeight="true" outlineLevel="0" collapsed="false">
      <c r="A4" s="3" t="s">
        <v>21</v>
      </c>
      <c r="B4" s="3" t="s">
        <v>22</v>
      </c>
      <c r="C4" s="3" t="s">
        <v>23</v>
      </c>
      <c r="D4" s="3" t="s">
        <v>24</v>
      </c>
      <c r="E4" s="3" t="s">
        <v>25</v>
      </c>
      <c r="F4" s="3" t="s">
        <v>272</v>
      </c>
    </row>
    <row r="5" customFormat="false" ht="30" hidden="false" customHeight="true" outlineLevel="0" collapsed="false">
      <c r="A5" s="5" t="s">
        <v>273</v>
      </c>
      <c r="B5" s="6" t="n">
        <v>103.11</v>
      </c>
      <c r="C5" s="7" t="s">
        <v>28</v>
      </c>
      <c r="D5" s="7" t="s">
        <v>274</v>
      </c>
      <c r="E5" s="7" t="s">
        <v>30</v>
      </c>
      <c r="F5" s="9" t="s">
        <v>275</v>
      </c>
    </row>
    <row r="6" customFormat="false" ht="30" hidden="false" customHeight="true" outlineLevel="0" collapsed="false">
      <c r="A6" s="5" t="s">
        <v>276</v>
      </c>
      <c r="B6" s="6" t="n">
        <v>111.87</v>
      </c>
      <c r="C6" s="7" t="s">
        <v>28</v>
      </c>
      <c r="D6" s="7" t="s">
        <v>274</v>
      </c>
      <c r="E6" s="7" t="s">
        <v>30</v>
      </c>
      <c r="F6" s="9" t="s">
        <v>277</v>
      </c>
    </row>
    <row r="7" customFormat="false" ht="30" hidden="false" customHeight="true" outlineLevel="0" collapsed="false">
      <c r="A7" s="5" t="s">
        <v>278</v>
      </c>
      <c r="B7" s="6" t="n">
        <v>184.55</v>
      </c>
      <c r="C7" s="7" t="s">
        <v>28</v>
      </c>
      <c r="D7" s="7" t="s">
        <v>274</v>
      </c>
      <c r="E7" s="7" t="s">
        <v>30</v>
      </c>
      <c r="F7" s="9" t="s">
        <v>279</v>
      </c>
    </row>
    <row r="8" customFormat="false" ht="30" hidden="false" customHeight="true" outlineLevel="0" collapsed="false">
      <c r="A8" s="5" t="s">
        <v>280</v>
      </c>
      <c r="B8" s="6" t="n">
        <v>43.03</v>
      </c>
      <c r="C8" s="7" t="s">
        <v>28</v>
      </c>
      <c r="D8" s="7" t="s">
        <v>281</v>
      </c>
      <c r="E8" s="7" t="s">
        <v>30</v>
      </c>
      <c r="F8" s="9" t="s">
        <v>282</v>
      </c>
    </row>
    <row r="9" customFormat="false" ht="30" hidden="false" customHeight="true" outlineLevel="0" collapsed="false">
      <c r="A9" s="5" t="s">
        <v>283</v>
      </c>
      <c r="B9" s="6" t="n">
        <v>45.29</v>
      </c>
      <c r="C9" s="7" t="s">
        <v>28</v>
      </c>
      <c r="D9" s="7" t="s">
        <v>281</v>
      </c>
      <c r="E9" s="7" t="s">
        <v>30</v>
      </c>
      <c r="F9" s="9" t="s">
        <v>284</v>
      </c>
    </row>
    <row r="10" customFormat="false" ht="30" hidden="false" customHeight="true" outlineLevel="0" collapsed="false">
      <c r="A10" s="5" t="s">
        <v>285</v>
      </c>
      <c r="B10" s="10" t="n">
        <v>0.1</v>
      </c>
      <c r="C10" s="7" t="s">
        <v>43</v>
      </c>
      <c r="D10" s="7" t="s">
        <v>286</v>
      </c>
      <c r="E10" s="7" t="s">
        <v>45</v>
      </c>
      <c r="F10" s="9" t="s">
        <v>287</v>
      </c>
    </row>
    <row r="11" customFormat="false" ht="30" hidden="false" customHeight="true" outlineLevel="0" collapsed="false">
      <c r="A11" s="5" t="s">
        <v>288</v>
      </c>
      <c r="B11" s="6" t="n">
        <v>10731</v>
      </c>
      <c r="C11" s="7" t="s">
        <v>289</v>
      </c>
      <c r="D11" s="7" t="s">
        <v>290</v>
      </c>
      <c r="E11" s="7" t="s">
        <v>30</v>
      </c>
      <c r="F11" s="9" t="s">
        <v>291</v>
      </c>
    </row>
    <row r="12" customFormat="false" ht="30" hidden="false" customHeight="true" outlineLevel="0" collapsed="false">
      <c r="A12" s="5" t="s">
        <v>292</v>
      </c>
      <c r="B12" s="6" t="n">
        <v>78106</v>
      </c>
      <c r="C12" s="7" t="s">
        <v>289</v>
      </c>
      <c r="D12" s="7" t="s">
        <v>290</v>
      </c>
      <c r="E12" s="7" t="s">
        <v>30</v>
      </c>
      <c r="F12" s="9" t="s">
        <v>293</v>
      </c>
    </row>
    <row r="14" customFormat="false" ht="15" hidden="false" customHeight="false" outlineLevel="0" collapsed="false">
      <c r="A14" s="8" t="s">
        <v>294</v>
      </c>
    </row>
    <row r="15" customFormat="false" ht="27.75" hidden="false" customHeight="true" outlineLevel="0" collapsed="false">
      <c r="A15" s="3" t="s">
        <v>57</v>
      </c>
      <c r="B15" s="3" t="s">
        <v>22</v>
      </c>
      <c r="C15" s="3" t="s">
        <v>23</v>
      </c>
      <c r="D15" s="3" t="s">
        <v>24</v>
      </c>
      <c r="E15" s="3" t="s">
        <v>25</v>
      </c>
      <c r="F15" s="3" t="s">
        <v>295</v>
      </c>
    </row>
    <row r="16" customFormat="false" ht="33.75" hidden="false" customHeight="true" outlineLevel="0" collapsed="false">
      <c r="A16" s="5" t="s">
        <v>296</v>
      </c>
      <c r="B16" s="30" t="n">
        <v>30000</v>
      </c>
      <c r="C16" s="7" t="s">
        <v>289</v>
      </c>
      <c r="D16" s="7" t="s">
        <v>297</v>
      </c>
      <c r="E16" s="7" t="s">
        <v>63</v>
      </c>
      <c r="F16" s="9" t="s">
        <v>298</v>
      </c>
    </row>
    <row r="17" customFormat="false" ht="33.75" hidden="false" customHeight="true" outlineLevel="0" collapsed="false">
      <c r="A17" s="5" t="s">
        <v>299</v>
      </c>
      <c r="B17" s="31" t="n">
        <v>1.5</v>
      </c>
      <c r="C17" s="7" t="s">
        <v>61</v>
      </c>
      <c r="D17" s="7" t="s">
        <v>300</v>
      </c>
      <c r="E17" s="7" t="s">
        <v>63</v>
      </c>
      <c r="F17" s="9" t="s">
        <v>301</v>
      </c>
    </row>
    <row r="18" customFormat="false" ht="33.75" hidden="false" customHeight="true" outlineLevel="0" collapsed="false">
      <c r="A18" s="5" t="s">
        <v>302</v>
      </c>
      <c r="B18" s="31" t="n">
        <v>0.25</v>
      </c>
      <c r="C18" s="7" t="s">
        <v>61</v>
      </c>
      <c r="D18" s="7" t="s">
        <v>62</v>
      </c>
      <c r="E18" s="7" t="s">
        <v>63</v>
      </c>
      <c r="F18" s="9" t="s">
        <v>303</v>
      </c>
    </row>
    <row r="19" customFormat="false" ht="33.75" hidden="false" customHeight="true" outlineLevel="0" collapsed="false">
      <c r="A19" s="5" t="s">
        <v>304</v>
      </c>
      <c r="B19" s="31" t="n">
        <v>7</v>
      </c>
      <c r="C19" s="7" t="s">
        <v>66</v>
      </c>
      <c r="D19" s="7" t="s">
        <v>305</v>
      </c>
      <c r="E19" s="7" t="s">
        <v>63</v>
      </c>
      <c r="F19" s="9" t="s">
        <v>306</v>
      </c>
    </row>
    <row r="20" customFormat="false" ht="33.75" hidden="false" customHeight="true" outlineLevel="0" collapsed="false">
      <c r="A20" s="5" t="s">
        <v>307</v>
      </c>
      <c r="B20" s="32" t="n">
        <v>0.15</v>
      </c>
      <c r="C20" s="7" t="s">
        <v>43</v>
      </c>
      <c r="D20" s="7" t="s">
        <v>308</v>
      </c>
      <c r="E20" s="7" t="s">
        <v>63</v>
      </c>
      <c r="F20" s="9" t="s">
        <v>309</v>
      </c>
    </row>
    <row r="21" customFormat="false" ht="33.75" hidden="false" customHeight="true" outlineLevel="0" collapsed="false">
      <c r="A21" s="5" t="s">
        <v>310</v>
      </c>
      <c r="B21" s="32" t="n">
        <v>0.02</v>
      </c>
      <c r="C21" s="7" t="s">
        <v>43</v>
      </c>
      <c r="D21" s="7" t="s">
        <v>311</v>
      </c>
      <c r="E21" s="7" t="s">
        <v>63</v>
      </c>
      <c r="F21" s="9" t="s">
        <v>312</v>
      </c>
    </row>
    <row r="22" customFormat="false" ht="33.75" hidden="false" customHeight="true" outlineLevel="0" collapsed="false">
      <c r="A22" s="5" t="s">
        <v>313</v>
      </c>
      <c r="B22" s="31" t="n">
        <v>12</v>
      </c>
      <c r="C22" s="7" t="s">
        <v>87</v>
      </c>
      <c r="D22" s="7" t="s">
        <v>314</v>
      </c>
      <c r="E22" s="7" t="s">
        <v>63</v>
      </c>
      <c r="F22" s="9" t="s">
        <v>315</v>
      </c>
    </row>
    <row r="23" customFormat="false" ht="33.75" hidden="false" customHeight="true" outlineLevel="0" collapsed="false">
      <c r="A23" s="5" t="s">
        <v>316</v>
      </c>
      <c r="B23" s="31" t="n">
        <v>50.61</v>
      </c>
      <c r="C23" s="7" t="s">
        <v>28</v>
      </c>
      <c r="D23" s="7" t="s">
        <v>317</v>
      </c>
      <c r="E23" s="7" t="s">
        <v>63</v>
      </c>
      <c r="F23" s="9" t="s">
        <v>318</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3" min="2" style="0" width="18"/>
    <col collapsed="false" customWidth="true" hidden="false" outlineLevel="0" max="4" min="4" style="0" width="62"/>
  </cols>
  <sheetData>
    <row r="1" customFormat="false" ht="17.35" hidden="false" customHeight="false" outlineLevel="0" collapsed="false">
      <c r="A1" s="1" t="s">
        <v>319</v>
      </c>
      <c r="B1" s="1"/>
      <c r="C1" s="1"/>
      <c r="D1" s="1"/>
    </row>
    <row r="2" customFormat="false" ht="15" hidden="false" customHeight="false" outlineLevel="0" collapsed="false">
      <c r="A2" s="2" t="s">
        <v>320</v>
      </c>
      <c r="B2" s="2"/>
      <c r="C2" s="2"/>
      <c r="D2" s="2"/>
    </row>
    <row r="4" customFormat="false" ht="27.75" hidden="false" customHeight="true" outlineLevel="0" collapsed="false">
      <c r="A4" s="3"/>
      <c r="B4" s="3" t="s">
        <v>321</v>
      </c>
      <c r="C4" s="3" t="s">
        <v>322</v>
      </c>
      <c r="D4" s="3" t="s">
        <v>323</v>
      </c>
    </row>
    <row r="5" customFormat="false" ht="30" hidden="false" customHeight="true" outlineLevel="0" collapsed="false">
      <c r="A5" s="5" t="s">
        <v>324</v>
      </c>
      <c r="B5" s="21" t="n">
        <f aca="false">AC_Inputs!$B$8*(1+Inputs!$B$10+Inputs!$B$11+Inputs!$B$12)</f>
        <v>49.678135</v>
      </c>
      <c r="C5" s="21" t="n">
        <f aca="false">Inputs!$B$8*(1+Inputs!$B$10+Inputs!$B$11+Inputs!$B$12)</f>
        <v>52.27576</v>
      </c>
      <c r="D5" s="9" t="s">
        <v>325</v>
      </c>
    </row>
    <row r="6" customFormat="false" ht="30" hidden="false" customHeight="true" outlineLevel="0" collapsed="false">
      <c r="A6" s="5" t="s">
        <v>326</v>
      </c>
      <c r="B6" s="21" t="n">
        <f aca="false">AC_Inputs!$B$5</f>
        <v>103.11</v>
      </c>
      <c r="C6" s="21" t="n">
        <f aca="false">Inputs!$B$5</f>
        <v>73.58</v>
      </c>
      <c r="D6" s="9" t="s">
        <v>327</v>
      </c>
    </row>
    <row r="7" customFormat="false" ht="30" hidden="false" customHeight="true" outlineLevel="0" collapsed="false">
      <c r="A7" s="5" t="s">
        <v>328</v>
      </c>
      <c r="B7" s="21" t="n">
        <f aca="false">AC_ClientEconomics!B6-AC_ClientEconomics!B5</f>
        <v>53.431865</v>
      </c>
      <c r="C7" s="21" t="n">
        <f aca="false">AC_ClientEconomics!C6-AC_ClientEconomics!C5</f>
        <v>21.30424</v>
      </c>
      <c r="D7" s="9" t="s">
        <v>329</v>
      </c>
    </row>
    <row r="8" customFormat="false" ht="30" hidden="false" customHeight="true" outlineLevel="0" collapsed="false">
      <c r="A8" s="5" t="s">
        <v>330</v>
      </c>
      <c r="B8" s="21" t="n">
        <f aca="false">AC_Inputs!$B$16/12</f>
        <v>2500</v>
      </c>
      <c r="C8" s="21" t="n">
        <f aca="false">15*52/12*Inputs!$B$5</f>
        <v>4782.7</v>
      </c>
      <c r="D8" s="9" t="s">
        <v>331</v>
      </c>
    </row>
    <row r="9" customFormat="false" ht="30" hidden="false" customHeight="true" outlineLevel="0" collapsed="false">
      <c r="A9" s="5" t="s">
        <v>332</v>
      </c>
      <c r="B9" s="21" t="n">
        <f aca="false">AC_ClientEconomics!B8*AC_Inputs!$B$10</f>
        <v>250</v>
      </c>
      <c r="C9" s="21" t="n">
        <f aca="false">0</f>
        <v>0</v>
      </c>
      <c r="D9" s="9" t="s">
        <v>333</v>
      </c>
    </row>
    <row r="10" customFormat="false" ht="30" hidden="false" customHeight="true" outlineLevel="0" collapsed="false">
      <c r="A10" s="5" t="s">
        <v>334</v>
      </c>
      <c r="B10" s="21" t="n">
        <f aca="false">AC_ClientEconomics!B8-AC_ClientEconomics!B9</f>
        <v>2250</v>
      </c>
      <c r="C10" s="21" t="n">
        <f aca="false">AC_ClientEconomics!C8</f>
        <v>4782.7</v>
      </c>
      <c r="D10" s="9" t="s">
        <v>335</v>
      </c>
    </row>
    <row r="11" customFormat="false" ht="30" hidden="false" customHeight="true" outlineLevel="0" collapsed="false">
      <c r="A11" s="5" t="s">
        <v>336</v>
      </c>
      <c r="B11" s="25" t="n">
        <f aca="false">AC_ClientEconomics!B10/AC_Inputs!$B$5</f>
        <v>21.8213558335758</v>
      </c>
      <c r="C11" s="25" t="n">
        <f aca="false">15*52/12</f>
        <v>65</v>
      </c>
      <c r="D11" s="9" t="s">
        <v>337</v>
      </c>
    </row>
    <row r="12" customFormat="false" ht="30" hidden="false" customHeight="true" outlineLevel="0" collapsed="false">
      <c r="A12" s="5" t="s">
        <v>338</v>
      </c>
      <c r="B12" s="25" t="n">
        <f aca="false">AC_ClientEconomics!B11*12/52</f>
        <v>5.03569750005595</v>
      </c>
      <c r="C12" s="25" t="n">
        <f aca="false">AC_ClientEconomics!C11*12/52</f>
        <v>15</v>
      </c>
      <c r="D12" s="9" t="s">
        <v>339</v>
      </c>
    </row>
    <row r="13" customFormat="false" ht="30" hidden="false" customHeight="true" outlineLevel="0" collapsed="false">
      <c r="A13" s="5" t="s">
        <v>340</v>
      </c>
      <c r="B13" s="21" t="n">
        <f aca="false">AC_ClientEconomics!B11*AC_ClientEconomics!B5</f>
        <v>1084.04426098342</v>
      </c>
      <c r="C13" s="21" t="n">
        <f aca="false">AC_ClientEconomics!C11*AC_ClientEconomics!C5</f>
        <v>3397.9244</v>
      </c>
      <c r="D13" s="9" t="s">
        <v>341</v>
      </c>
    </row>
    <row r="14" customFormat="false" ht="30" hidden="false" customHeight="true" outlineLevel="0" collapsed="false">
      <c r="A14" s="5" t="s">
        <v>342</v>
      </c>
      <c r="B14" s="21" t="n">
        <f aca="false">AC_Inputs!$B$17*AC_Inputs!$B$23*(1+Inputs!$B$10+Inputs!$B$11+Inputs!$B$12)</f>
        <v>87.6438675</v>
      </c>
      <c r="C14" s="21" t="n">
        <f aca="false">0</f>
        <v>0</v>
      </c>
      <c r="D14" s="9" t="s">
        <v>343</v>
      </c>
    </row>
    <row r="15" customFormat="false" ht="30" hidden="false" customHeight="true" outlineLevel="0" collapsed="false">
      <c r="A15" s="5" t="s">
        <v>344</v>
      </c>
      <c r="B15" s="21" t="n">
        <f aca="false">AC_ClientEconomics!B11*AC_Inputs!$B$18*AC_Inputs!$B$23*(1+Inputs!$B$10+Inputs!$B$11+Inputs!$B$12)</f>
        <v>318.751336558045</v>
      </c>
      <c r="C15" s="21" t="n">
        <f aca="false">AC_ClientEconomics!C11*AC_Inputs!$B$18*Inputs!$B$9*(1+Inputs!$B$10+Inputs!$B$11+Inputs!$B$12)</f>
        <v>949.47523125</v>
      </c>
      <c r="D15" s="9" t="s">
        <v>345</v>
      </c>
    </row>
    <row r="16" customFormat="false" ht="30" hidden="false" customHeight="true" outlineLevel="0" collapsed="false">
      <c r="A16" s="5" t="s">
        <v>346</v>
      </c>
      <c r="B16" s="21" t="n">
        <f aca="false">AC_ClientEconomics!B8*AC_Inputs!$B$20*AC_Inputs!$B$21</f>
        <v>7.5</v>
      </c>
      <c r="C16" s="21" t="n">
        <f aca="false">0</f>
        <v>0</v>
      </c>
      <c r="D16" s="9" t="s">
        <v>347</v>
      </c>
    </row>
    <row r="17" customFormat="false" ht="30" hidden="false" customHeight="true" outlineLevel="0" collapsed="false">
      <c r="A17" s="4" t="s">
        <v>348</v>
      </c>
      <c r="B17" s="29" t="n">
        <f aca="false">AC_ClientEconomics!B10-AC_ClientEconomics!B13+AC_ClientEconomics!B9-AC_ClientEconomics!B14-AC_ClientEconomics!B15-AC_ClientEconomics!B16</f>
        <v>1002.06053495854</v>
      </c>
      <c r="C17" s="29" t="n">
        <f aca="false">AC_ClientEconomics!C10-AC_ClientEconomics!C13-AC_ClientEconomics!C15</f>
        <v>435.300368749999</v>
      </c>
      <c r="D17" s="9" t="s">
        <v>349</v>
      </c>
    </row>
    <row r="18" customFormat="false" ht="43.5" hidden="false" customHeight="true" outlineLevel="0" collapsed="false">
      <c r="A18" s="8" t="s">
        <v>350</v>
      </c>
      <c r="B18" s="27" t="n">
        <f aca="false">AC_ClientEconomics!B17/AC_ClientEconomics!C17</f>
        <v>2.30199790052105</v>
      </c>
      <c r="D18" s="9" t="s">
        <v>351</v>
      </c>
    </row>
    <row r="20" customFormat="false" ht="15" hidden="false" customHeight="false" outlineLevel="0" collapsed="false">
      <c r="A20" s="8" t="s">
        <v>352</v>
      </c>
    </row>
    <row r="21" customFormat="false" ht="27.75" hidden="false" customHeight="true" outlineLevel="0" collapsed="false">
      <c r="A21" s="3" t="s">
        <v>353</v>
      </c>
      <c r="B21" s="3" t="s">
        <v>354</v>
      </c>
      <c r="C21" s="3" t="s">
        <v>355</v>
      </c>
      <c r="D21" s="3" t="s">
        <v>356</v>
      </c>
    </row>
    <row r="22" customFormat="false" ht="15" hidden="false" customHeight="false" outlineLevel="0" collapsed="false">
      <c r="A22" s="16" t="n">
        <v>10731</v>
      </c>
      <c r="B22" s="25" t="n">
        <f aca="false">A22*(1-AC_Inputs!$B$10)/12/AC_Inputs!$B$5*12/52</f>
        <v>1.80126899577001</v>
      </c>
      <c r="C22" s="21" t="n">
        <f aca="false">A22/12</f>
        <v>894.25</v>
      </c>
      <c r="D22" s="21" t="n">
        <f aca="false">C22-C22*AC_Inputs!$B$10-(C22*(1-AC_Inputs!$B$10)/AC_Inputs!$B$5)*(AC_ClientEconomics!$B$5+AC_Inputs!$B$18*AC_Inputs!$B$23*(1+Inputs!$B$10+Inputs!$B$11+Inputs!$B$12))+C22*AC_Inputs!$B$10-AC_Inputs!$B$17*AC_Inputs!$B$23*(1+Inputs!$B$10+Inputs!$B$11+Inputs!$B$12)-C22*AC_Inputs!$B$20*AC_Inputs!$B$21</f>
        <v>302.14339725942</v>
      </c>
    </row>
    <row r="23" customFormat="false" ht="15" hidden="false" customHeight="false" outlineLevel="0" collapsed="false">
      <c r="A23" s="16" t="n">
        <v>20000</v>
      </c>
      <c r="B23" s="25" t="n">
        <f aca="false">A23*(1-AC_Inputs!$B$10)/12/AC_Inputs!$B$5*12/52</f>
        <v>3.35713166670397</v>
      </c>
      <c r="C23" s="21" t="n">
        <f aca="false">A23/12</f>
        <v>1666.66666666667</v>
      </c>
      <c r="D23" s="21" t="n">
        <f aca="false">C23-C23*AC_Inputs!$B$10-(C23*(1-AC_Inputs!$B$10)/AC_Inputs!$B$5)*(AC_ClientEconomics!$B$5+AC_Inputs!$B$18*AC_Inputs!$B$23*(1+Inputs!$B$10+Inputs!$B$11+Inputs!$B$12))+C23*AC_Inputs!$B$10-AC_Inputs!$B$17*AC_Inputs!$B$23*(1+Inputs!$B$10+Inputs!$B$11+Inputs!$B$12)-C23*AC_Inputs!$B$20*AC_Inputs!$B$21</f>
        <v>638.825734139026</v>
      </c>
    </row>
    <row r="24" customFormat="false" ht="15" hidden="false" customHeight="false" outlineLevel="0" collapsed="false">
      <c r="A24" s="16" t="n">
        <v>30000</v>
      </c>
      <c r="B24" s="25" t="n">
        <f aca="false">A24*(1-AC_Inputs!$B$10)/12/AC_Inputs!$B$5*12/52</f>
        <v>5.03569750005595</v>
      </c>
      <c r="C24" s="21" t="n">
        <f aca="false">A24/12</f>
        <v>2500</v>
      </c>
      <c r="D24" s="21" t="n">
        <f aca="false">C24-C24*AC_Inputs!$B$10-(C24*(1-AC_Inputs!$B$10)/AC_Inputs!$B$5)*(AC_ClientEconomics!$B$5+AC_Inputs!$B$18*AC_Inputs!$B$23*(1+Inputs!$B$10+Inputs!$B$11+Inputs!$B$12))+C24*AC_Inputs!$B$10-AC_Inputs!$B$17*AC_Inputs!$B$23*(1+Inputs!$B$10+Inputs!$B$11+Inputs!$B$12)-C24*AC_Inputs!$B$20*AC_Inputs!$B$21</f>
        <v>1002.06053495854</v>
      </c>
    </row>
    <row r="25" customFormat="false" ht="15" hidden="false" customHeight="false" outlineLevel="0" collapsed="false">
      <c r="A25" s="16" t="n">
        <v>45000</v>
      </c>
      <c r="B25" s="25" t="n">
        <f aca="false">A25*(1-AC_Inputs!$B$10)/12/AC_Inputs!$B$5*12/52</f>
        <v>7.55354625008393</v>
      </c>
      <c r="C25" s="21" t="n">
        <f aca="false">A25/12</f>
        <v>3750</v>
      </c>
      <c r="D25" s="21" t="n">
        <f aca="false">C25-C25*AC_Inputs!$B$10-(C25*(1-AC_Inputs!$B$10)/AC_Inputs!$B$5)*(AC_ClientEconomics!$B$5+AC_Inputs!$B$18*AC_Inputs!$B$23*(1+Inputs!$B$10+Inputs!$B$11+Inputs!$B$12))+C25*AC_Inputs!$B$10-AC_Inputs!$B$17*AC_Inputs!$B$23*(1+Inputs!$B$10+Inputs!$B$11+Inputs!$B$12)-C25*AC_Inputs!$B$20*AC_Inputs!$B$21</f>
        <v>1546.91273618781</v>
      </c>
    </row>
    <row r="26" customFormat="false" ht="15" hidden="false" customHeight="false" outlineLevel="0" collapsed="false">
      <c r="A26" s="16" t="n">
        <v>60000</v>
      </c>
      <c r="B26" s="25" t="n">
        <f aca="false">A26*(1-AC_Inputs!$B$10)/12/AC_Inputs!$B$5*12/52</f>
        <v>10.0713950001119</v>
      </c>
      <c r="C26" s="21" t="n">
        <f aca="false">A26/12</f>
        <v>5000</v>
      </c>
      <c r="D26" s="21" t="n">
        <f aca="false">C26-C26*AC_Inputs!$B$10-(C26*(1-AC_Inputs!$B$10)/AC_Inputs!$B$5)*(AC_ClientEconomics!$B$5+AC_Inputs!$B$18*AC_Inputs!$B$23*(1+Inputs!$B$10+Inputs!$B$11+Inputs!$B$12))+C26*AC_Inputs!$B$10-AC_Inputs!$B$17*AC_Inputs!$B$23*(1+Inputs!$B$10+Inputs!$B$11+Inputs!$B$12)-C26*AC_Inputs!$B$20*AC_Inputs!$B$21</f>
        <v>2091.76493741708</v>
      </c>
    </row>
    <row r="27" customFormat="false" ht="15" hidden="false" customHeight="false" outlineLevel="0" collapsed="false">
      <c r="A27" s="16" t="n">
        <v>78106</v>
      </c>
      <c r="B27" s="25" t="n">
        <f aca="false">A27*(1-AC_Inputs!$B$10)/12/AC_Inputs!$B$5*12/52</f>
        <v>13.110606297979</v>
      </c>
      <c r="C27" s="21" t="n">
        <f aca="false">A27/12</f>
        <v>6508.83333333333</v>
      </c>
      <c r="D27" s="21" t="n">
        <f aca="false">C27-C27*AC_Inputs!$B$10-(C27*(1-AC_Inputs!$B$10)/AC_Inputs!$B$5)*(AC_ClientEconomics!$B$5+AC_Inputs!$B$18*AC_Inputs!$B$23*(1+Inputs!$B$10+Inputs!$B$11+Inputs!$B$12))+C27*AC_Inputs!$B$10-AC_Inputs!$B$17*AC_Inputs!$B$23*(1+Inputs!$B$10+Inputs!$B$11+Inputs!$B$12)-C27*AC_Inputs!$B$20*AC_Inputs!$B$21</f>
        <v>2749.43786778089</v>
      </c>
    </row>
    <row r="29" customFormat="false" ht="55.5" hidden="false" customHeight="true" outlineLevel="0" collapsed="false">
      <c r="A29" s="20" t="s">
        <v>357</v>
      </c>
      <c r="B29" s="20"/>
      <c r="C29" s="20"/>
      <c r="D29" s="20"/>
    </row>
  </sheetData>
  <mergeCells count="3">
    <mergeCell ref="A1:D1"/>
    <mergeCell ref="A2:D2"/>
    <mergeCell ref="A29:D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4" min="2" style="0" width="18"/>
    <col collapsed="false" customWidth="true" hidden="false" outlineLevel="0" max="5" min="5" style="0" width="56"/>
  </cols>
  <sheetData>
    <row r="1" customFormat="false" ht="17.35" hidden="false" customHeight="false" outlineLevel="0" collapsed="false">
      <c r="A1" s="1" t="s">
        <v>358</v>
      </c>
      <c r="B1" s="1"/>
      <c r="C1" s="1"/>
      <c r="D1" s="1"/>
      <c r="E1" s="1"/>
    </row>
    <row r="2" customFormat="false" ht="15" hidden="false" customHeight="false" outlineLevel="0" collapsed="false">
      <c r="A2" s="2" t="s">
        <v>359</v>
      </c>
      <c r="B2" s="2"/>
      <c r="C2" s="2"/>
      <c r="D2" s="2"/>
      <c r="E2" s="2"/>
    </row>
    <row r="4" customFormat="false" ht="27.75" hidden="false" customHeight="true" outlineLevel="0" collapsed="false">
      <c r="A4" s="3"/>
      <c r="B4" s="3" t="s">
        <v>360</v>
      </c>
      <c r="C4" s="3" t="s">
        <v>361</v>
      </c>
      <c r="D4" s="3" t="s">
        <v>362</v>
      </c>
      <c r="E4" s="3" t="s">
        <v>363</v>
      </c>
    </row>
    <row r="5" customFormat="false" ht="33.75" hidden="false" customHeight="true" outlineLevel="0" collapsed="false">
      <c r="A5" s="5" t="s">
        <v>364</v>
      </c>
      <c r="B5" s="21" t="n">
        <v>1840.5</v>
      </c>
      <c r="C5" s="21" t="n">
        <v>1234</v>
      </c>
      <c r="D5" s="29" t="n">
        <f aca="false">B5-C5</f>
        <v>606.5</v>
      </c>
      <c r="E5" s="9" t="s">
        <v>365</v>
      </c>
    </row>
    <row r="6" customFormat="false" ht="33.75" hidden="false" customHeight="true" outlineLevel="0" collapsed="false">
      <c r="A6" s="5" t="s">
        <v>366</v>
      </c>
      <c r="B6" s="21" t="n">
        <v>21948.6</v>
      </c>
      <c r="C6" s="21" t="n">
        <v>21204.6</v>
      </c>
      <c r="D6" s="29" t="n">
        <f aca="false">B6-C6</f>
        <v>744</v>
      </c>
      <c r="E6" s="9" t="s">
        <v>367</v>
      </c>
    </row>
    <row r="7" customFormat="false" ht="15" hidden="false" customHeight="false" outlineLevel="0" collapsed="false">
      <c r="A7" s="8" t="s">
        <v>368</v>
      </c>
      <c r="D7" s="29" t="n">
        <f aca="false">D5*12</f>
        <v>7278</v>
      </c>
      <c r="E7" s="9" t="s">
        <v>369</v>
      </c>
    </row>
    <row r="8" customFormat="false" ht="15" hidden="false" customHeight="false" outlineLevel="0" collapsed="false">
      <c r="A8" s="8" t="s">
        <v>370</v>
      </c>
      <c r="D8" s="29" t="n">
        <f aca="false">D5*36+D6</f>
        <v>22578</v>
      </c>
      <c r="E8" s="9" t="s">
        <v>371</v>
      </c>
    </row>
    <row r="10" customFormat="false" ht="72" hidden="false" customHeight="true" outlineLevel="0" collapsed="false">
      <c r="A10" s="20" t="s">
        <v>372</v>
      </c>
      <c r="B10" s="20"/>
      <c r="C10" s="20"/>
      <c r="D10" s="20"/>
      <c r="E10" s="20"/>
    </row>
  </sheetData>
  <mergeCells count="3">
    <mergeCell ref="A1:E1"/>
    <mergeCell ref="A2:E2"/>
    <mergeCell ref="A10:E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6" min="3" style="0" width="13"/>
    <col collapsed="false" customWidth="true" hidden="false" outlineLevel="0" max="7" min="7" style="0" width="56"/>
  </cols>
  <sheetData>
    <row r="1" customFormat="false" ht="17.35" hidden="false" customHeight="false" outlineLevel="0" collapsed="false">
      <c r="A1" s="1" t="s">
        <v>373</v>
      </c>
      <c r="B1" s="1"/>
      <c r="C1" s="1"/>
      <c r="D1" s="1"/>
      <c r="E1" s="1"/>
      <c r="F1" s="1"/>
      <c r="G1" s="1"/>
    </row>
    <row r="2" customFormat="false" ht="15" hidden="false" customHeight="false" outlineLevel="0" collapsed="false">
      <c r="A2" s="2" t="s">
        <v>374</v>
      </c>
      <c r="B2" s="2"/>
      <c r="C2" s="2"/>
      <c r="D2" s="2"/>
      <c r="E2" s="2"/>
      <c r="F2" s="2"/>
      <c r="G2" s="2"/>
    </row>
    <row r="4" customFormat="false" ht="27.75" hidden="false" customHeight="true" outlineLevel="0" collapsed="false">
      <c r="A4" s="3" t="s">
        <v>375</v>
      </c>
      <c r="B4" s="3" t="s">
        <v>376</v>
      </c>
      <c r="C4" s="3" t="s">
        <v>377</v>
      </c>
      <c r="D4" s="3" t="s">
        <v>378</v>
      </c>
      <c r="E4" s="3" t="s">
        <v>379</v>
      </c>
      <c r="F4" s="3" t="s">
        <v>380</v>
      </c>
      <c r="G4" s="3" t="s">
        <v>381</v>
      </c>
    </row>
    <row r="5" customFormat="false" ht="31.5" hidden="false" customHeight="true" outlineLevel="0" collapsed="false">
      <c r="A5" s="5" t="s">
        <v>382</v>
      </c>
      <c r="B5" s="33" t="n">
        <v>0.25</v>
      </c>
      <c r="C5" s="34" t="n">
        <v>3</v>
      </c>
      <c r="D5" s="34" t="n">
        <v>2</v>
      </c>
      <c r="E5" s="34" t="n">
        <v>5</v>
      </c>
      <c r="F5" s="34" t="n">
        <v>5</v>
      </c>
      <c r="G5" s="9" t="s">
        <v>383</v>
      </c>
    </row>
    <row r="6" customFormat="false" ht="31.5" hidden="false" customHeight="true" outlineLevel="0" collapsed="false">
      <c r="A6" s="5" t="s">
        <v>384</v>
      </c>
      <c r="B6" s="33" t="n">
        <v>0.25</v>
      </c>
      <c r="C6" s="34" t="n">
        <v>5</v>
      </c>
      <c r="D6" s="34" t="n">
        <v>2</v>
      </c>
      <c r="E6" s="34" t="n">
        <v>4</v>
      </c>
      <c r="F6" s="34" t="n">
        <v>1</v>
      </c>
      <c r="G6" s="9" t="s">
        <v>385</v>
      </c>
    </row>
    <row r="7" customFormat="false" ht="31.5" hidden="false" customHeight="true" outlineLevel="0" collapsed="false">
      <c r="A7" s="5" t="s">
        <v>386</v>
      </c>
      <c r="B7" s="33" t="n">
        <v>0.2</v>
      </c>
      <c r="C7" s="34" t="n">
        <v>4</v>
      </c>
      <c r="D7" s="34" t="n">
        <v>2</v>
      </c>
      <c r="E7" s="34" t="n">
        <v>5</v>
      </c>
      <c r="F7" s="34" t="n">
        <v>1</v>
      </c>
      <c r="G7" s="9" t="s">
        <v>387</v>
      </c>
    </row>
    <row r="8" customFormat="false" ht="31.5" hidden="false" customHeight="true" outlineLevel="0" collapsed="false">
      <c r="A8" s="5" t="s">
        <v>388</v>
      </c>
      <c r="B8" s="33" t="n">
        <v>0.15</v>
      </c>
      <c r="C8" s="34" t="n">
        <v>2</v>
      </c>
      <c r="D8" s="34" t="n">
        <v>4</v>
      </c>
      <c r="E8" s="34" t="n">
        <v>1</v>
      </c>
      <c r="F8" s="34" t="n">
        <v>5</v>
      </c>
      <c r="G8" s="9" t="s">
        <v>389</v>
      </c>
    </row>
    <row r="9" customFormat="false" ht="31.5" hidden="false" customHeight="true" outlineLevel="0" collapsed="false">
      <c r="A9" s="5" t="s">
        <v>390</v>
      </c>
      <c r="B9" s="33" t="n">
        <v>0.15</v>
      </c>
      <c r="C9" s="34" t="n">
        <v>4</v>
      </c>
      <c r="D9" s="34" t="n">
        <v>3</v>
      </c>
      <c r="E9" s="34" t="n">
        <v>1</v>
      </c>
      <c r="F9" s="34" t="n">
        <v>5</v>
      </c>
      <c r="G9" s="9" t="s">
        <v>391</v>
      </c>
    </row>
    <row r="10" customFormat="false" ht="15" hidden="false" customHeight="false" outlineLevel="0" collapsed="false">
      <c r="A10" s="8" t="s">
        <v>392</v>
      </c>
      <c r="B10" s="35" t="n">
        <f aca="false">SUM(B5:B9)</f>
        <v>1</v>
      </c>
      <c r="G10" s="20" t="s">
        <v>393</v>
      </c>
    </row>
    <row r="11" customFormat="false" ht="15" hidden="false" customHeight="false" outlineLevel="0" collapsed="false">
      <c r="A11" s="8" t="s">
        <v>394</v>
      </c>
      <c r="C11" s="35" t="n">
        <f aca="false">SUMPRODUCT($B$5:$B$9,C5:C9)</f>
        <v>3.7</v>
      </c>
      <c r="D11" s="35" t="n">
        <f aca="false">SUMPRODUCT($B$5:$B$9,D5:D9)</f>
        <v>2.45</v>
      </c>
      <c r="E11" s="35" t="n">
        <f aca="false">SUMPRODUCT($B$5:$B$9,E5:E9)</f>
        <v>3.55</v>
      </c>
      <c r="F11" s="35" t="n">
        <f aca="false">SUMPRODUCT($B$5:$B$9,F5:F9)</f>
        <v>3.2</v>
      </c>
      <c r="G11" s="9" t="s">
        <v>395</v>
      </c>
    </row>
    <row r="13" customFormat="false" ht="15" hidden="false" customHeight="false" outlineLevel="0" collapsed="false">
      <c r="A13" s="8" t="s">
        <v>396</v>
      </c>
    </row>
    <row r="14" customFormat="false" ht="19.5" hidden="false" customHeight="true" outlineLevel="0" collapsed="false">
      <c r="A14" s="8" t="s">
        <v>377</v>
      </c>
      <c r="B14" s="5" t="s">
        <v>397</v>
      </c>
      <c r="C14" s="5"/>
      <c r="D14" s="5"/>
      <c r="E14" s="5"/>
      <c r="F14" s="5"/>
      <c r="G14" s="5"/>
    </row>
    <row r="15" customFormat="false" ht="19.5" hidden="false" customHeight="true" outlineLevel="0" collapsed="false">
      <c r="A15" s="8" t="s">
        <v>378</v>
      </c>
      <c r="B15" s="5" t="s">
        <v>398</v>
      </c>
      <c r="C15" s="5"/>
      <c r="D15" s="5"/>
      <c r="E15" s="5"/>
      <c r="F15" s="5"/>
      <c r="G15" s="5"/>
    </row>
    <row r="16" customFormat="false" ht="19.5" hidden="false" customHeight="true" outlineLevel="0" collapsed="false">
      <c r="A16" s="8" t="s">
        <v>379</v>
      </c>
      <c r="B16" s="5" t="s">
        <v>399</v>
      </c>
      <c r="C16" s="5"/>
      <c r="D16" s="5"/>
      <c r="E16" s="5"/>
      <c r="F16" s="5"/>
      <c r="G16" s="5"/>
    </row>
    <row r="17" customFormat="false" ht="19.5" hidden="false" customHeight="true" outlineLevel="0" collapsed="false">
      <c r="A17" s="8" t="s">
        <v>380</v>
      </c>
      <c r="B17" s="5" t="s">
        <v>400</v>
      </c>
      <c r="C17" s="5"/>
      <c r="D17" s="5"/>
      <c r="E17" s="5"/>
      <c r="F17" s="5"/>
      <c r="G17" s="5"/>
    </row>
    <row r="19" customFormat="false" ht="60" hidden="false" customHeight="true" outlineLevel="0" collapsed="false">
      <c r="A19" s="20" t="s">
        <v>401</v>
      </c>
      <c r="B19" s="20"/>
      <c r="C19" s="20"/>
      <c r="D19" s="20"/>
      <c r="E19" s="20"/>
      <c r="F19" s="20"/>
      <c r="G19" s="20"/>
    </row>
  </sheetData>
  <mergeCells count="7">
    <mergeCell ref="A1:G1"/>
    <mergeCell ref="A2:G2"/>
    <mergeCell ref="B14:G14"/>
    <mergeCell ref="B15:G15"/>
    <mergeCell ref="B16:G16"/>
    <mergeCell ref="B17:G17"/>
    <mergeCell ref="A19:G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8"/>
    <col collapsed="false" customWidth="true" hidden="false" outlineLevel="0" max="4" min="4" style="0" width="20"/>
    <col collapsed="false" customWidth="true" hidden="false" outlineLevel="0" max="5" min="5" style="0" width="56"/>
  </cols>
  <sheetData>
    <row r="1" customFormat="false" ht="17.35" hidden="false" customHeight="false" outlineLevel="0" collapsed="false">
      <c r="A1" s="1" t="s">
        <v>402</v>
      </c>
      <c r="B1" s="1"/>
      <c r="C1" s="1"/>
      <c r="D1" s="1"/>
      <c r="E1" s="1"/>
    </row>
    <row r="2" customFormat="false" ht="15" hidden="false" customHeight="false" outlineLevel="0" collapsed="false">
      <c r="A2" s="2" t="s">
        <v>403</v>
      </c>
      <c r="B2" s="2"/>
      <c r="C2" s="2"/>
      <c r="D2" s="2"/>
      <c r="E2" s="2"/>
    </row>
    <row r="4" customFormat="false" ht="27.75" hidden="false" customHeight="true" outlineLevel="0" collapsed="false">
      <c r="A4" s="3"/>
      <c r="B4" s="3" t="s">
        <v>404</v>
      </c>
      <c r="C4" s="3" t="s">
        <v>405</v>
      </c>
      <c r="D4" s="3" t="s">
        <v>406</v>
      </c>
      <c r="E4" s="3" t="s">
        <v>323</v>
      </c>
    </row>
    <row r="5" customFormat="false" ht="31.5" hidden="false" customHeight="true" outlineLevel="0" collapsed="false">
      <c r="A5" s="5" t="s">
        <v>407</v>
      </c>
      <c r="B5" s="21" t="n">
        <v>10790.8</v>
      </c>
      <c r="C5" s="21" t="n">
        <v>11157.8</v>
      </c>
      <c r="D5" s="29" t="n">
        <f aca="false">B5+C5</f>
        <v>21948.6</v>
      </c>
      <c r="E5" s="9" t="s">
        <v>408</v>
      </c>
    </row>
    <row r="6" customFormat="false" ht="31.5" hidden="false" customHeight="true" outlineLevel="0" collapsed="false">
      <c r="A6" s="5" t="s">
        <v>409</v>
      </c>
      <c r="B6" s="21" t="n">
        <v>847.33</v>
      </c>
      <c r="C6" s="21" t="n">
        <v>993.17</v>
      </c>
      <c r="D6" s="29" t="n">
        <f aca="false">B6+C6</f>
        <v>1840.5</v>
      </c>
      <c r="E6" s="9" t="s">
        <v>410</v>
      </c>
    </row>
    <row r="7" customFormat="false" ht="31.5" hidden="false" customHeight="true" outlineLevel="0" collapsed="false">
      <c r="A7" s="5" t="s">
        <v>411</v>
      </c>
      <c r="B7" s="21" t="n">
        <v>15874.78</v>
      </c>
      <c r="C7" s="21" t="n">
        <v>17116.82</v>
      </c>
      <c r="D7" s="29" t="n">
        <f aca="false">B7+C7</f>
        <v>32991.6</v>
      </c>
      <c r="E7" s="9" t="s">
        <v>412</v>
      </c>
    </row>
    <row r="8" customFormat="false" ht="31.5" hidden="false" customHeight="true" outlineLevel="0" collapsed="false">
      <c r="A8" s="5" t="s">
        <v>413</v>
      </c>
      <c r="B8" s="21" t="n">
        <v>7318.61</v>
      </c>
      <c r="C8" s="21" t="n">
        <v>4173.2</v>
      </c>
      <c r="D8" s="29" t="n">
        <f aca="false">B8+C8</f>
        <v>11491.81</v>
      </c>
      <c r="E8" s="9" t="s">
        <v>414</v>
      </c>
    </row>
    <row r="9" customFormat="false" ht="31.5" hidden="false" customHeight="true" outlineLevel="0" collapsed="false">
      <c r="A9" s="5" t="s">
        <v>415</v>
      </c>
      <c r="B9" s="21" t="n">
        <v>15682.73</v>
      </c>
      <c r="C9" s="21" t="n">
        <v>4173.2</v>
      </c>
      <c r="D9" s="29" t="n">
        <f aca="false">B9+C9</f>
        <v>19855.93</v>
      </c>
      <c r="E9" s="9" t="s">
        <v>416</v>
      </c>
    </row>
    <row r="10" customFormat="false" ht="15" hidden="false" customHeight="false" outlineLevel="0" collapsed="false">
      <c r="A10" s="8" t="s">
        <v>417</v>
      </c>
      <c r="D10" s="28" t="n">
        <f aca="false">D7+D8</f>
        <v>44483.41</v>
      </c>
      <c r="E10" s="9" t="s">
        <v>418</v>
      </c>
    </row>
    <row r="11" customFormat="false" ht="15" hidden="false" customHeight="false" outlineLevel="0" collapsed="false">
      <c r="A11" s="8" t="s">
        <v>419</v>
      </c>
      <c r="D11" s="28" t="n">
        <f aca="false">D7+D9</f>
        <v>52847.53</v>
      </c>
      <c r="E11" s="9" t="s">
        <v>420</v>
      </c>
    </row>
    <row r="13" customFormat="false" ht="43.5" hidden="false" customHeight="true" outlineLevel="0" collapsed="false">
      <c r="A13" s="20" t="s">
        <v>421</v>
      </c>
      <c r="B13" s="20"/>
      <c r="C13" s="20"/>
      <c r="D13" s="20"/>
      <c r="E13" s="20"/>
    </row>
  </sheetData>
  <mergeCells count="3">
    <mergeCell ref="A1:E1"/>
    <mergeCell ref="A2:E2"/>
    <mergeCell ref="A13:E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2026-09-07T09:18:12Z</dcterms:created>
  <dc:creator>openpyxl</dc:creator>
  <dc:description/>
  <dc:language>en-US</dc:language>
  <cp:lastModifiedBy/>
  <dcterms:modified xsi:type="dcterms:W3CDTF">2026-09-07T09:18:12Z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